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4. 2020\2º TRIMESTRE\4. INFORMES ECONÓMICOS\"/>
    </mc:Choice>
  </mc:AlternateContent>
  <bookViews>
    <workbookView xWindow="75" yWindow="0" windowWidth="28740" windowHeight="1242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7" i="1" l="1"/>
  <c r="E47" i="1" s="1"/>
  <c r="F47" i="1"/>
  <c r="R46" i="1"/>
  <c r="Q53" i="1"/>
  <c r="Q52" i="1"/>
  <c r="Q51" i="1"/>
  <c r="Q50" i="1"/>
  <c r="Q49" i="1"/>
  <c r="Q48" i="1"/>
  <c r="Q47" i="1"/>
  <c r="Q46" i="1"/>
  <c r="Q45" i="1"/>
  <c r="Q44" i="1"/>
  <c r="Q43" i="1"/>
  <c r="M53" i="1"/>
  <c r="M52" i="1"/>
  <c r="M51" i="1"/>
  <c r="M50" i="1"/>
  <c r="M49" i="1"/>
  <c r="M48" i="1"/>
  <c r="M47" i="1"/>
  <c r="M46" i="1"/>
  <c r="M45" i="1"/>
  <c r="M44" i="1"/>
  <c r="M43" i="1"/>
  <c r="I53" i="1"/>
  <c r="R53" i="1" s="1"/>
  <c r="I48" i="1"/>
  <c r="I47" i="1"/>
  <c r="I46" i="1"/>
  <c r="I45" i="1"/>
  <c r="I44" i="1"/>
  <c r="I43" i="1"/>
  <c r="E50" i="1"/>
  <c r="R50" i="1" s="1"/>
  <c r="E48" i="1"/>
  <c r="E46" i="1"/>
  <c r="E45" i="1"/>
  <c r="R45" i="1" s="1"/>
  <c r="E43" i="1"/>
  <c r="R43" i="1" s="1"/>
  <c r="F50" i="1"/>
  <c r="I50" i="1" s="1"/>
  <c r="D50" i="1"/>
  <c r="C50" i="1"/>
  <c r="B50" i="1"/>
  <c r="F52" i="1"/>
  <c r="I52" i="1" s="1"/>
  <c r="D52" i="1"/>
  <c r="C52" i="1"/>
  <c r="B52" i="1"/>
  <c r="E52" i="1" s="1"/>
  <c r="R52" i="1" s="1"/>
  <c r="P26" i="1"/>
  <c r="P25" i="1"/>
  <c r="O25" i="1"/>
  <c r="N25" i="1"/>
  <c r="L25" i="1"/>
  <c r="K25" i="1"/>
  <c r="K26" i="1"/>
  <c r="J25" i="1"/>
  <c r="H25" i="1"/>
  <c r="G25" i="1"/>
  <c r="F25" i="1"/>
  <c r="D25" i="1"/>
  <c r="C25" i="1"/>
  <c r="B25" i="1"/>
  <c r="R10" i="1"/>
  <c r="Q10" i="1"/>
  <c r="M10" i="1"/>
  <c r="I10" i="1"/>
  <c r="E10" i="1"/>
  <c r="R48" i="1" l="1"/>
  <c r="R47" i="1"/>
  <c r="F51" i="1"/>
  <c r="I51" i="1" s="1"/>
  <c r="D51" i="1"/>
  <c r="C51" i="1"/>
  <c r="B51" i="1"/>
  <c r="E51" i="1" s="1"/>
  <c r="P24" i="1"/>
  <c r="O24" i="1"/>
  <c r="L24" i="1"/>
  <c r="H24" i="1"/>
  <c r="N24" i="1"/>
  <c r="K24" i="1"/>
  <c r="J24" i="1"/>
  <c r="G24" i="1"/>
  <c r="F24" i="1"/>
  <c r="I24" i="1" s="1"/>
  <c r="R23" i="1"/>
  <c r="Q26" i="1"/>
  <c r="Q25" i="1"/>
  <c r="Q23" i="1"/>
  <c r="Q21" i="1"/>
  <c r="Q20" i="1"/>
  <c r="Q19" i="1"/>
  <c r="Q18" i="1"/>
  <c r="Q17" i="1"/>
  <c r="Q14" i="1"/>
  <c r="Q13" i="1"/>
  <c r="Q12" i="1"/>
  <c r="Q11" i="1"/>
  <c r="M26" i="1"/>
  <c r="M25" i="1"/>
  <c r="M23" i="1"/>
  <c r="M21" i="1"/>
  <c r="M20" i="1"/>
  <c r="M19" i="1"/>
  <c r="M18" i="1"/>
  <c r="M17" i="1"/>
  <c r="M15" i="1"/>
  <c r="M14" i="1"/>
  <c r="M13" i="1"/>
  <c r="M12" i="1"/>
  <c r="M11" i="1"/>
  <c r="I26" i="1"/>
  <c r="I25" i="1"/>
  <c r="I23" i="1"/>
  <c r="I21" i="1"/>
  <c r="I20" i="1"/>
  <c r="I19" i="1"/>
  <c r="I18" i="1"/>
  <c r="I17" i="1"/>
  <c r="I14" i="1"/>
  <c r="I13" i="1"/>
  <c r="I12" i="1"/>
  <c r="I11" i="1"/>
  <c r="E26" i="1"/>
  <c r="E25" i="1"/>
  <c r="E23" i="1"/>
  <c r="E21" i="1"/>
  <c r="E20" i="1"/>
  <c r="E19" i="1"/>
  <c r="E18" i="1"/>
  <c r="E17" i="1"/>
  <c r="E16" i="1"/>
  <c r="E14" i="1"/>
  <c r="E13" i="1"/>
  <c r="E12" i="1"/>
  <c r="E11" i="1"/>
  <c r="D24" i="1"/>
  <c r="C24" i="1"/>
  <c r="B24" i="1"/>
  <c r="E24" i="1" s="1"/>
  <c r="D44" i="1"/>
  <c r="C44" i="1"/>
  <c r="B44" i="1"/>
  <c r="E44" i="1" s="1"/>
  <c r="R44" i="1" s="1"/>
  <c r="P16" i="1"/>
  <c r="N16" i="1"/>
  <c r="Q16" i="1" s="1"/>
  <c r="K16" i="1"/>
  <c r="M16" i="1" s="1"/>
  <c r="H16" i="1"/>
  <c r="F16" i="1"/>
  <c r="I16" i="1" s="1"/>
  <c r="C16" i="1"/>
  <c r="P15" i="1"/>
  <c r="O15" i="1"/>
  <c r="Q15" i="1" s="1"/>
  <c r="F15" i="1"/>
  <c r="I15" i="1" s="1"/>
  <c r="B15" i="1"/>
  <c r="E15" i="1" s="1"/>
  <c r="R13" i="1"/>
  <c r="R14" i="1"/>
  <c r="F49" i="1"/>
  <c r="I49" i="1" s="1"/>
  <c r="D49" i="1"/>
  <c r="C49" i="1"/>
  <c r="B49" i="1"/>
  <c r="E49" i="1" s="1"/>
  <c r="P22" i="1"/>
  <c r="O22" i="1"/>
  <c r="N22" i="1"/>
  <c r="Q22" i="1" s="1"/>
  <c r="L22" i="1"/>
  <c r="K22" i="1"/>
  <c r="M22" i="1" s="1"/>
  <c r="J22" i="1"/>
  <c r="H22" i="1"/>
  <c r="G22" i="1"/>
  <c r="F22" i="1"/>
  <c r="I22" i="1" s="1"/>
  <c r="D22" i="1"/>
  <c r="C22" i="1"/>
  <c r="B22" i="1"/>
  <c r="E22" i="1" s="1"/>
  <c r="R20" i="1"/>
  <c r="R11" i="1"/>
  <c r="R12" i="1"/>
  <c r="R18" i="1"/>
  <c r="R19" i="1"/>
  <c r="R21" i="1"/>
  <c r="R26" i="1"/>
  <c r="R22" i="1" l="1"/>
  <c r="R51" i="1"/>
  <c r="R49" i="1"/>
  <c r="R16" i="1"/>
  <c r="M24" i="1"/>
  <c r="Q24" i="1"/>
  <c r="R24" i="1" s="1"/>
  <c r="B27" i="1"/>
  <c r="R15" i="1"/>
  <c r="R27" i="1" s="1"/>
  <c r="R42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P42" i="1"/>
  <c r="O42" i="1"/>
  <c r="N42" i="1"/>
  <c r="L42" i="1"/>
  <c r="K42" i="1"/>
  <c r="K57" i="1" s="1"/>
  <c r="J42" i="1"/>
  <c r="H42" i="1"/>
  <c r="G42" i="1"/>
  <c r="F42" i="1"/>
  <c r="D42" i="1"/>
  <c r="C42" i="1"/>
  <c r="B42" i="1"/>
  <c r="Q41" i="1"/>
  <c r="M41" i="1"/>
  <c r="I41" i="1"/>
  <c r="E41" i="1"/>
  <c r="Q40" i="1"/>
  <c r="M40" i="1"/>
  <c r="I40" i="1"/>
  <c r="E40" i="1"/>
  <c r="Q39" i="1"/>
  <c r="M39" i="1"/>
  <c r="I39" i="1"/>
  <c r="E39" i="1"/>
  <c r="Q38" i="1"/>
  <c r="M38" i="1"/>
  <c r="I38" i="1"/>
  <c r="E38" i="1"/>
  <c r="Q37" i="1"/>
  <c r="M37" i="1"/>
  <c r="I37" i="1"/>
  <c r="E37" i="1"/>
  <c r="Q36" i="1"/>
  <c r="M36" i="1"/>
  <c r="I36" i="1"/>
  <c r="E36" i="1"/>
  <c r="Q27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8" i="1"/>
  <c r="Q7" i="1"/>
  <c r="Q6" i="1"/>
  <c r="Q5" i="1"/>
  <c r="Q4" i="1"/>
  <c r="Q3" i="1"/>
  <c r="R3" i="1" s="1"/>
  <c r="R9" i="1" s="1"/>
  <c r="P9" i="1"/>
  <c r="O9" i="1"/>
  <c r="N9" i="1"/>
  <c r="M8" i="1"/>
  <c r="M7" i="1"/>
  <c r="M6" i="1"/>
  <c r="M5" i="1"/>
  <c r="M4" i="1"/>
  <c r="M3" i="1"/>
  <c r="L9" i="1"/>
  <c r="K9" i="1"/>
  <c r="J9" i="1"/>
  <c r="I8" i="1"/>
  <c r="I7" i="1"/>
  <c r="I6" i="1"/>
  <c r="I5" i="1"/>
  <c r="I4" i="1"/>
  <c r="I3" i="1"/>
  <c r="H9" i="1"/>
  <c r="G9" i="1"/>
  <c r="F9" i="1"/>
  <c r="E8" i="1"/>
  <c r="E7" i="1"/>
  <c r="E6" i="1"/>
  <c r="E5" i="1"/>
  <c r="E4" i="1"/>
  <c r="E3" i="1"/>
  <c r="D9" i="1"/>
  <c r="C9" i="1"/>
  <c r="B9" i="1"/>
  <c r="M9" i="1" l="1"/>
  <c r="J57" i="1"/>
  <c r="R30" i="1"/>
  <c r="M30" i="1"/>
  <c r="P30" i="1"/>
  <c r="L30" i="1"/>
  <c r="J30" i="1"/>
  <c r="J61" i="1" s="1"/>
  <c r="D30" i="1"/>
  <c r="G57" i="1"/>
  <c r="C57" i="1"/>
  <c r="I42" i="1"/>
  <c r="I57" i="1" s="1"/>
  <c r="I9" i="1"/>
  <c r="I30" i="1" s="1"/>
  <c r="E42" i="1"/>
  <c r="E57" i="1" s="1"/>
  <c r="H57" i="1"/>
  <c r="O57" i="1"/>
  <c r="E9" i="1"/>
  <c r="E30" i="1" s="1"/>
  <c r="N30" i="1"/>
  <c r="H30" i="1"/>
  <c r="P57" i="1"/>
  <c r="Q9" i="1"/>
  <c r="Q30" i="1" s="1"/>
  <c r="Q42" i="1"/>
  <c r="Q57" i="1" s="1"/>
  <c r="F30" i="1"/>
  <c r="G30" i="1"/>
  <c r="G61" i="1" s="1"/>
  <c r="B57" i="1"/>
  <c r="R57" i="1"/>
  <c r="O30" i="1"/>
  <c r="C30" i="1"/>
  <c r="N57" i="1"/>
  <c r="L57" i="1"/>
  <c r="L61" i="1" s="1"/>
  <c r="F57" i="1"/>
  <c r="B30" i="1"/>
  <c r="K30" i="1"/>
  <c r="K61" i="1" s="1"/>
  <c r="M42" i="1"/>
  <c r="M57" i="1" s="1"/>
  <c r="D57" i="1"/>
  <c r="P61" i="1" l="1"/>
  <c r="M61" i="1"/>
  <c r="O61" i="1"/>
  <c r="H61" i="1"/>
  <c r="R61" i="1"/>
  <c r="C61" i="1"/>
  <c r="Q61" i="1"/>
  <c r="I61" i="1"/>
  <c r="D61" i="1"/>
  <c r="N61" i="1"/>
  <c r="B61" i="1"/>
  <c r="E61" i="1"/>
  <c r="F61" i="1"/>
</calcChain>
</file>

<file path=xl/sharedStrings.xml><?xml version="1.0" encoding="utf-8"?>
<sst xmlns="http://schemas.openxmlformats.org/spreadsheetml/2006/main" count="82" uniqueCount="48">
  <si>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</si>
  <si>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</si>
  <si>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</si>
  <si>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</si>
  <si>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</si>
  <si>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</si>
  <si>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</si>
  <si>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</si>
  <si>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</si>
  <si>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</si>
  <si>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</si>
  <si>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</si>
  <si>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Ingreso A</t>
  </si>
  <si>
    <t>Ingreso B</t>
  </si>
  <si>
    <t>Ingreso C</t>
  </si>
  <si>
    <t>Balance neto (Ingreso - Gasto)</t>
  </si>
  <si>
    <t>Nóminas</t>
  </si>
  <si>
    <t>Horas extras</t>
  </si>
  <si>
    <t>Subvención</t>
  </si>
  <si>
    <t>2º TRIMESTRE</t>
  </si>
  <si>
    <t>3º TRIMESTRE</t>
  </si>
  <si>
    <t>4º TRIMESTRE</t>
  </si>
  <si>
    <t>1º TRIMESTRE</t>
  </si>
  <si>
    <t>TOTAL BRUTO INGRESOS</t>
  </si>
  <si>
    <t>TOTAL BRUTO GASTOS</t>
  </si>
  <si>
    <t>Ingreso D</t>
  </si>
  <si>
    <t>Ingreso E</t>
  </si>
  <si>
    <t>TOTAL ANUAL</t>
  </si>
  <si>
    <t>DIFERENCIA ENTRE AÑOS 2020-2019</t>
  </si>
  <si>
    <t>GASTO PRENSA</t>
  </si>
  <si>
    <t>GASTO PCs TRABAJADORAS</t>
  </si>
  <si>
    <t>GASTO MATERIAL FUNGIBLE PAPELERIA</t>
  </si>
  <si>
    <t>GASTO TONER</t>
  </si>
  <si>
    <t>GASTO PROGRAMA GESTION BIB.</t>
  </si>
  <si>
    <t>GASTO INCREMENTO LIBROS AYTO</t>
  </si>
  <si>
    <t>GASTO DISCO DURO PC USUARIOS</t>
  </si>
  <si>
    <t>Seguors Sociales</t>
  </si>
  <si>
    <t>ALARMA</t>
  </si>
  <si>
    <t>LUZ</t>
  </si>
  <si>
    <t>CALEFACCION</t>
  </si>
  <si>
    <t>AGUA</t>
  </si>
  <si>
    <t>ASCENSOR</t>
  </si>
  <si>
    <t>LIMPIADORA</t>
  </si>
  <si>
    <t>S.SOCIALES</t>
  </si>
  <si>
    <t>NOMINAS</t>
  </si>
  <si>
    <t>SEGUROS SOCIALES</t>
  </si>
  <si>
    <t>SUBVENCION FONDOS</t>
  </si>
  <si>
    <t>BIBLIOTECA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</si>
</sst>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4" borderId="1" xfId="0" applyFont="1" applyFill="1" applyBorder="1"/>
    <xf numFmtId="0" fontId="1" fillId="2" borderId="1" xfId="0" applyFont="1" applyFill="1" applyBorder="1"/>
    <xf numFmtId="0" fontId="1" fillId="3" borderId="1" xfId="0" applyFont="1" applyFill="1" applyBorder="1"/>
    <xf numFmtId="0" fontId="1" fillId="5" borderId="1" xfId="0" applyFont="1" applyFill="1" applyBorder="1"/>
    <xf numFmtId="0" fontId="1" fillId="4" borderId="3" xfId="0" applyFont="1" applyFill="1" applyBorder="1"/>
    <xf numFmtId="0" fontId="1" fillId="0" borderId="1" xfId="0" applyFont="1" applyFill="1" applyBorder="1"/>
    <xf numFmtId="0" fontId="0" fillId="6" borderId="1" xfId="0" applyFill="1" applyBorder="1"/>
    <xf numFmtId="0" fontId="1" fillId="7" borderId="1" xfId="0" applyFont="1" applyFill="1" applyBorder="1"/>
    <xf numFmtId="0" fontId="0" fillId="8" borderId="1" xfId="0" applyFill="1" applyBorder="1"/>
    <xf numFmtId="4" fontId="0" fillId="0" borderId="1" xfId="0" applyNumberFormat="1" applyBorder="1"/>
    <xf numFmtId="16" fontId="0" fillId="0" borderId="0" xfId="0" applyNumberFormat="1" applyAlignment="1">
      <alignment horizontal="left"/>
    </xf>
    <xf numFmtId="4" fontId="0" fillId="4" borderId="1" xfId="0" applyNumberFormat="1" applyFill="1" applyBorder="1"/>
    <xf numFmtId="4" fontId="0" fillId="4" borderId="3" xfId="0" applyNumberFormat="1" applyFill="1" applyBorder="1"/>
    <xf numFmtId="4" fontId="0" fillId="3" borderId="1" xfId="0" applyNumberFormat="1" applyFill="1" applyBorder="1"/>
    <xf numFmtId="4" fontId="0" fillId="3" borderId="3" xfId="0" applyNumberFormat="1" applyFill="1" applyBorder="1"/>
    <xf numFmtId="4" fontId="0" fillId="5" borderId="1" xfId="0" applyNumberFormat="1" applyFill="1" applyBorder="1"/>
    <xf numFmtId="4" fontId="0" fillId="5" borderId="3" xfId="0" applyNumberFormat="1" applyFill="1" applyBorder="1"/>
    <xf numFmtId="4" fontId="0" fillId="2" borderId="1" xfId="0" applyNumberFormat="1" applyFill="1" applyBorder="1"/>
    <xf numFmtId="4" fontId="0" fillId="2" borderId="3" xfId="0" applyNumberFormat="1" applyFill="1" applyBorder="1"/>
    <xf numFmtId="4" fontId="0" fillId="7" borderId="1" xfId="0" applyNumberFormat="1" applyFill="1" applyBorder="1"/>
    <xf numFmtId="4" fontId="0" fillId="7" borderId="3" xfId="0" applyNumberFormat="1" applyFill="1" applyBorder="1"/>
    <xf numFmtId="4" fontId="0" fillId="0" borderId="0" xfId="0" applyNumberFormat="1"/>
    <xf numFmtId="4" fontId="0" fillId="8" borderId="1" xfId="0" applyNumberFormat="1" applyFill="1" applyBorder="1"/>
    <xf numFmtId="0" fontId="0" fillId="6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1"/>
  <sheetViews>
    <sheetView tabSelected="1" workbookViewId="0">
      <selection sqref="A1:Q1"/>
    </sheetView>
  </sheetViews>
  <sheetFormatPr baseColWidth="10" defaultRowHeight="15" x14ac:dyDescent="0.25"/>
  <cols>
    <col min="1" max="1" width="32.7109375" bestFit="1" customWidth="1"/>
    <col min="2" max="2" width="8.85546875" bestFit="1" customWidth="1"/>
    <col min="5" max="5" width="14.140625" bestFit="1" customWidth="1"/>
    <col min="9" max="9" width="13.140625" bestFit="1" customWidth="1"/>
    <col min="13" max="13" width="13.140625" bestFit="1" customWidth="1"/>
    <col min="17" max="17" width="13.140625" bestFit="1" customWidth="1"/>
    <col min="18" max="18" width="13.28515625" bestFit="1" customWidth="1"/>
  </cols>
  <sheetData>
    <row r="1" spans="1:19" x14ac:dyDescent="0.25">
      <c r="A1" s="26" t="s">
        <v>47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9"/>
    </row>
    <row r="2" spans="1:19" x14ac:dyDescent="0.25">
      <c r="A2" s="1"/>
      <c r="B2" s="2" t="s">
        <v>0</v>
      </c>
      <c r="C2" s="2" t="s">
        <v>1</v>
      </c>
      <c r="D2" s="2" t="s">
        <v>2</v>
      </c>
      <c r="E2" s="3" t="s">
        <v>22</v>
      </c>
      <c r="F2" s="2" t="s">
        <v>3</v>
      </c>
      <c r="G2" s="2" t="s">
        <v>4</v>
      </c>
      <c r="H2" s="2" t="s">
        <v>5</v>
      </c>
      <c r="I2" s="3" t="s">
        <v>19</v>
      </c>
      <c r="J2" s="2" t="s">
        <v>6</v>
      </c>
      <c r="K2" s="2" t="s">
        <v>7</v>
      </c>
      <c r="L2" s="2" t="s">
        <v>8</v>
      </c>
      <c r="M2" s="3" t="s">
        <v>20</v>
      </c>
      <c r="N2" s="2" t="s">
        <v>9</v>
      </c>
      <c r="O2" s="2" t="s">
        <v>10</v>
      </c>
      <c r="P2" s="2" t="s">
        <v>11</v>
      </c>
      <c r="Q2" s="7" t="s">
        <v>21</v>
      </c>
      <c r="R2" s="8" t="s">
        <v>27</v>
      </c>
    </row>
    <row r="3" spans="1:19" x14ac:dyDescent="0.25">
      <c r="A3" s="1" t="s">
        <v>46</v>
      </c>
      <c r="B3" s="12"/>
      <c r="C3" s="12"/>
      <c r="D3" s="12"/>
      <c r="E3" s="14">
        <f t="shared" ref="E3:E26" si="0">SUM(B3:D3)</f>
        <v>0</v>
      </c>
      <c r="F3" s="12"/>
      <c r="G3" s="12"/>
      <c r="H3" s="12"/>
      <c r="I3" s="14">
        <f t="shared" ref="I3:I26" si="1">SUM(F3:H3)</f>
        <v>0</v>
      </c>
      <c r="J3" s="12"/>
      <c r="K3" s="12"/>
      <c r="L3" s="12"/>
      <c r="M3" s="14">
        <f t="shared" ref="M3:M26" si="2">SUM(J3:L3)</f>
        <v>0</v>
      </c>
      <c r="N3" s="12"/>
      <c r="O3" s="12"/>
      <c r="P3" s="12">
        <v>2500</v>
      </c>
      <c r="Q3" s="15">
        <f t="shared" ref="Q3:Q26" si="3">SUM(N3:P3)</f>
        <v>2500</v>
      </c>
      <c r="R3" s="12">
        <f>+Q3</f>
        <v>2500</v>
      </c>
    </row>
    <row r="4" spans="1:19" x14ac:dyDescent="0.25">
      <c r="A4" s="1" t="s">
        <v>13</v>
      </c>
      <c r="B4" s="12"/>
      <c r="C4" s="12"/>
      <c r="D4" s="12"/>
      <c r="E4" s="14">
        <f t="shared" si="0"/>
        <v>0</v>
      </c>
      <c r="F4" s="12"/>
      <c r="G4" s="12"/>
      <c r="H4" s="12"/>
      <c r="I4" s="14">
        <f t="shared" si="1"/>
        <v>0</v>
      </c>
      <c r="J4" s="12"/>
      <c r="K4" s="12"/>
      <c r="L4" s="12"/>
      <c r="M4" s="14">
        <f t="shared" si="2"/>
        <v>0</v>
      </c>
      <c r="N4" s="12"/>
      <c r="O4" s="12"/>
      <c r="P4" s="12"/>
      <c r="Q4" s="15">
        <f t="shared" si="3"/>
        <v>0</v>
      </c>
      <c r="R4" s="12"/>
    </row>
    <row r="5" spans="1:19" x14ac:dyDescent="0.25">
      <c r="A5" s="1" t="s">
        <v>14</v>
      </c>
      <c r="B5" s="12"/>
      <c r="C5" s="12"/>
      <c r="D5" s="12"/>
      <c r="E5" s="14">
        <f t="shared" si="0"/>
        <v>0</v>
      </c>
      <c r="F5" s="12"/>
      <c r="G5" s="12"/>
      <c r="H5" s="12"/>
      <c r="I5" s="14">
        <f t="shared" si="1"/>
        <v>0</v>
      </c>
      <c r="J5" s="12"/>
      <c r="K5" s="12"/>
      <c r="L5" s="12"/>
      <c r="M5" s="14">
        <f t="shared" si="2"/>
        <v>0</v>
      </c>
      <c r="N5" s="12"/>
      <c r="O5" s="12"/>
      <c r="P5" s="12"/>
      <c r="Q5" s="15">
        <f t="shared" si="3"/>
        <v>0</v>
      </c>
      <c r="R5" s="12"/>
    </row>
    <row r="6" spans="1:19" x14ac:dyDescent="0.25">
      <c r="A6" s="1" t="s">
        <v>25</v>
      </c>
      <c r="B6" s="12"/>
      <c r="C6" s="12"/>
      <c r="D6" s="12"/>
      <c r="E6" s="14">
        <f t="shared" si="0"/>
        <v>0</v>
      </c>
      <c r="F6" s="12"/>
      <c r="G6" s="12"/>
      <c r="H6" s="12"/>
      <c r="I6" s="14">
        <f t="shared" si="1"/>
        <v>0</v>
      </c>
      <c r="J6" s="12"/>
      <c r="K6" s="12"/>
      <c r="L6" s="12"/>
      <c r="M6" s="14">
        <f t="shared" si="2"/>
        <v>0</v>
      </c>
      <c r="N6" s="12"/>
      <c r="O6" s="12"/>
      <c r="P6" s="12"/>
      <c r="Q6" s="15">
        <f t="shared" si="3"/>
        <v>0</v>
      </c>
      <c r="R6" s="12"/>
    </row>
    <row r="7" spans="1:19" x14ac:dyDescent="0.25">
      <c r="A7" s="1" t="s">
        <v>26</v>
      </c>
      <c r="B7" s="12"/>
      <c r="C7" s="12"/>
      <c r="D7" s="12"/>
      <c r="E7" s="14">
        <f t="shared" si="0"/>
        <v>0</v>
      </c>
      <c r="F7" s="12"/>
      <c r="G7" s="12"/>
      <c r="H7" s="12"/>
      <c r="I7" s="14">
        <f t="shared" si="1"/>
        <v>0</v>
      </c>
      <c r="J7" s="12"/>
      <c r="K7" s="12"/>
      <c r="L7" s="12"/>
      <c r="M7" s="14">
        <f t="shared" si="2"/>
        <v>0</v>
      </c>
      <c r="N7" s="12"/>
      <c r="O7" s="12"/>
      <c r="P7" s="12"/>
      <c r="Q7" s="15">
        <f t="shared" si="3"/>
        <v>0</v>
      </c>
      <c r="R7" s="12"/>
    </row>
    <row r="8" spans="1:19" x14ac:dyDescent="0.25">
      <c r="A8" s="1" t="s">
        <v>18</v>
      </c>
      <c r="B8" s="12"/>
      <c r="C8" s="12"/>
      <c r="D8" s="12"/>
      <c r="E8" s="14">
        <f t="shared" si="0"/>
        <v>0</v>
      </c>
      <c r="F8" s="12"/>
      <c r="G8" s="12"/>
      <c r="H8" s="12"/>
      <c r="I8" s="14">
        <f t="shared" si="1"/>
        <v>0</v>
      </c>
      <c r="J8" s="12"/>
      <c r="K8" s="12"/>
      <c r="L8" s="12"/>
      <c r="M8" s="14">
        <f t="shared" si="2"/>
        <v>0</v>
      </c>
      <c r="N8" s="12"/>
      <c r="O8" s="12"/>
      <c r="P8" s="12"/>
      <c r="Q8" s="15">
        <f t="shared" si="3"/>
        <v>0</v>
      </c>
      <c r="R8" s="12"/>
    </row>
    <row r="9" spans="1:19" x14ac:dyDescent="0.25">
      <c r="A9" s="4" t="s">
        <v>23</v>
      </c>
      <c r="B9" s="20">
        <f t="shared" ref="B9:R9" si="4">SUM(B3:B8)</f>
        <v>0</v>
      </c>
      <c r="C9" s="20">
        <f t="shared" si="4"/>
        <v>0</v>
      </c>
      <c r="D9" s="20">
        <f t="shared" si="4"/>
        <v>0</v>
      </c>
      <c r="E9" s="20">
        <f t="shared" si="4"/>
        <v>0</v>
      </c>
      <c r="F9" s="20">
        <f t="shared" si="4"/>
        <v>0</v>
      </c>
      <c r="G9" s="20">
        <f t="shared" si="4"/>
        <v>0</v>
      </c>
      <c r="H9" s="20">
        <f t="shared" si="4"/>
        <v>0</v>
      </c>
      <c r="I9" s="20">
        <f t="shared" si="4"/>
        <v>0</v>
      </c>
      <c r="J9" s="20">
        <f t="shared" si="4"/>
        <v>0</v>
      </c>
      <c r="K9" s="20">
        <f t="shared" si="4"/>
        <v>0</v>
      </c>
      <c r="L9" s="20">
        <f t="shared" si="4"/>
        <v>0</v>
      </c>
      <c r="M9" s="20">
        <f t="shared" si="4"/>
        <v>0</v>
      </c>
      <c r="N9" s="20">
        <f t="shared" si="4"/>
        <v>0</v>
      </c>
      <c r="O9" s="20">
        <f t="shared" si="4"/>
        <v>0</v>
      </c>
      <c r="P9" s="20">
        <f t="shared" si="4"/>
        <v>2500</v>
      </c>
      <c r="Q9" s="21">
        <f t="shared" si="4"/>
        <v>2500</v>
      </c>
      <c r="R9" s="20">
        <f t="shared" si="4"/>
        <v>2500</v>
      </c>
    </row>
    <row r="10" spans="1:19" x14ac:dyDescent="0.25">
      <c r="A10" s="1" t="s">
        <v>29</v>
      </c>
      <c r="B10" s="12">
        <v>42.9</v>
      </c>
      <c r="C10" s="12">
        <v>44.4</v>
      </c>
      <c r="D10" s="12">
        <v>41.4</v>
      </c>
      <c r="E10" s="14">
        <f>SUM(B10:D10)</f>
        <v>128.69999999999999</v>
      </c>
      <c r="F10" s="12">
        <v>57.2</v>
      </c>
      <c r="G10" s="12">
        <v>59.3</v>
      </c>
      <c r="H10" s="12">
        <v>42.95</v>
      </c>
      <c r="I10" s="14">
        <f>SUM(F10:H10)</f>
        <v>159.44999999999999</v>
      </c>
      <c r="J10" s="12">
        <v>47.05</v>
      </c>
      <c r="K10" s="12">
        <v>41.95</v>
      </c>
      <c r="L10" s="12">
        <v>44.65</v>
      </c>
      <c r="M10" s="14">
        <f>SUM(J10:L10)</f>
        <v>133.65</v>
      </c>
      <c r="N10" s="12">
        <v>53</v>
      </c>
      <c r="O10" s="12">
        <v>42.95</v>
      </c>
      <c r="P10" s="12">
        <v>45.75</v>
      </c>
      <c r="Q10" s="15">
        <f>SUM(N10:P10)</f>
        <v>141.69999999999999</v>
      </c>
      <c r="R10" s="12">
        <f>+SUM($B10:$D10,$F10:$H10,$J10:$L10,$N10:$P10)</f>
        <v>563.5</v>
      </c>
      <c r="S10" s="24"/>
    </row>
    <row r="11" spans="1:19" x14ac:dyDescent="0.25">
      <c r="A11" s="1" t="s">
        <v>30</v>
      </c>
      <c r="B11" s="12"/>
      <c r="C11" s="12">
        <v>1320.58</v>
      </c>
      <c r="D11" s="12"/>
      <c r="E11" s="14">
        <f t="shared" si="0"/>
        <v>1320.58</v>
      </c>
      <c r="F11" s="12"/>
      <c r="G11" s="12"/>
      <c r="H11" s="12"/>
      <c r="I11" s="14">
        <f t="shared" si="1"/>
        <v>0</v>
      </c>
      <c r="J11" s="12"/>
      <c r="K11" s="12"/>
      <c r="L11" s="12"/>
      <c r="M11" s="14">
        <f t="shared" si="2"/>
        <v>0</v>
      </c>
      <c r="N11" s="12"/>
      <c r="O11" s="12"/>
      <c r="P11" s="12"/>
      <c r="Q11" s="15">
        <f t="shared" si="3"/>
        <v>0</v>
      </c>
      <c r="R11" s="12">
        <f t="shared" ref="R11:R26" si="5">+SUM($B11:$D11,$F11:$H11,$J11:$L11,$N11:$P11)</f>
        <v>1320.58</v>
      </c>
    </row>
    <row r="12" spans="1:19" x14ac:dyDescent="0.25">
      <c r="A12" s="1" t="s">
        <v>31</v>
      </c>
      <c r="B12" s="12">
        <v>145.9</v>
      </c>
      <c r="C12" s="12"/>
      <c r="D12" s="12"/>
      <c r="E12" s="14">
        <f t="shared" si="0"/>
        <v>145.9</v>
      </c>
      <c r="F12" s="12"/>
      <c r="G12" s="12"/>
      <c r="H12" s="12"/>
      <c r="I12" s="14">
        <f t="shared" si="1"/>
        <v>0</v>
      </c>
      <c r="J12" s="12"/>
      <c r="K12" s="12"/>
      <c r="L12" s="12"/>
      <c r="M12" s="14">
        <f t="shared" si="2"/>
        <v>0</v>
      </c>
      <c r="N12" s="12"/>
      <c r="O12" s="12"/>
      <c r="P12" s="12">
        <v>133.15</v>
      </c>
      <c r="Q12" s="15">
        <f t="shared" si="3"/>
        <v>133.15</v>
      </c>
      <c r="R12" s="12">
        <f t="shared" si="5"/>
        <v>279.05</v>
      </c>
    </row>
    <row r="13" spans="1:19" x14ac:dyDescent="0.25">
      <c r="A13" s="1" t="s">
        <v>38</v>
      </c>
      <c r="B13" s="12">
        <v>355.33</v>
      </c>
      <c r="C13" s="12">
        <v>378.68</v>
      </c>
      <c r="D13" s="12">
        <v>430.81</v>
      </c>
      <c r="E13" s="14">
        <f t="shared" si="0"/>
        <v>1164.82</v>
      </c>
      <c r="F13" s="12">
        <v>335.29</v>
      </c>
      <c r="G13" s="12">
        <v>366.27</v>
      </c>
      <c r="H13" s="12">
        <v>291.45</v>
      </c>
      <c r="I13" s="14">
        <f t="shared" si="1"/>
        <v>993.01</v>
      </c>
      <c r="J13" s="12">
        <v>236.85</v>
      </c>
      <c r="K13" s="12">
        <v>267.11</v>
      </c>
      <c r="L13" s="12">
        <v>224.6</v>
      </c>
      <c r="M13" s="14">
        <f t="shared" si="2"/>
        <v>728.56000000000006</v>
      </c>
      <c r="N13" s="12">
        <v>306.45999999999998</v>
      </c>
      <c r="O13" s="12">
        <v>484.8</v>
      </c>
      <c r="P13" s="12">
        <v>559.37</v>
      </c>
      <c r="Q13" s="15">
        <f t="shared" si="3"/>
        <v>1350.63</v>
      </c>
      <c r="R13" s="12">
        <f>(+SUM($B13:$D13,$F13:$H13,$J13:$L13,$N13:$P13))/2</f>
        <v>2118.5100000000002</v>
      </c>
      <c r="S13" s="13"/>
    </row>
    <row r="14" spans="1:19" x14ac:dyDescent="0.25">
      <c r="A14" s="1" t="s">
        <v>37</v>
      </c>
      <c r="B14" s="12">
        <v>34.67</v>
      </c>
      <c r="C14" s="12">
        <v>34.67</v>
      </c>
      <c r="D14" s="12">
        <v>34.67</v>
      </c>
      <c r="E14" s="14">
        <f t="shared" si="0"/>
        <v>104.01</v>
      </c>
      <c r="F14" s="12">
        <v>34.67</v>
      </c>
      <c r="G14" s="12">
        <v>34.67</v>
      </c>
      <c r="H14" s="12">
        <v>34.67</v>
      </c>
      <c r="I14" s="14">
        <f t="shared" si="1"/>
        <v>104.01</v>
      </c>
      <c r="J14" s="12">
        <v>34.67</v>
      </c>
      <c r="K14" s="12">
        <v>34.67</v>
      </c>
      <c r="L14" s="12">
        <v>34.67</v>
      </c>
      <c r="M14" s="14">
        <f t="shared" si="2"/>
        <v>104.01</v>
      </c>
      <c r="N14" s="12">
        <v>34.67</v>
      </c>
      <c r="O14" s="12">
        <v>34.67</v>
      </c>
      <c r="P14" s="12">
        <v>29.46</v>
      </c>
      <c r="Q14" s="15">
        <f t="shared" si="3"/>
        <v>98.800000000000011</v>
      </c>
      <c r="R14" s="12">
        <f>(+SUM($B14:$D14,$F14:$H14,$J14:$L14,$N14:$P14))/2</f>
        <v>205.41500000000005</v>
      </c>
      <c r="S14" s="13"/>
    </row>
    <row r="15" spans="1:19" x14ac:dyDescent="0.25">
      <c r="A15" s="1" t="s">
        <v>39</v>
      </c>
      <c r="B15" s="12">
        <f>1817.17/2</f>
        <v>908.58500000000004</v>
      </c>
      <c r="C15" s="12"/>
      <c r="D15" s="12"/>
      <c r="E15" s="14">
        <f t="shared" si="0"/>
        <v>908.58500000000004</v>
      </c>
      <c r="F15" s="12">
        <f>1655.95/2</f>
        <v>827.97500000000002</v>
      </c>
      <c r="G15" s="12"/>
      <c r="H15" s="12"/>
      <c r="I15" s="14">
        <f t="shared" si="1"/>
        <v>827.97500000000002</v>
      </c>
      <c r="J15" s="12"/>
      <c r="K15" s="12"/>
      <c r="L15" s="12"/>
      <c r="M15" s="14">
        <f t="shared" si="2"/>
        <v>0</v>
      </c>
      <c r="N15" s="12"/>
      <c r="O15" s="12">
        <f>5834.14/3</f>
        <v>1944.7133333333334</v>
      </c>
      <c r="P15" s="12">
        <f>2845.92/3</f>
        <v>948.64</v>
      </c>
      <c r="Q15" s="15">
        <f t="shared" si="3"/>
        <v>2893.3533333333335</v>
      </c>
      <c r="R15" s="12">
        <f>+SUM($B15:$D15,$F15:$H15,$J15:$L15,$N15:$P15)</f>
        <v>4629.9133333333339</v>
      </c>
      <c r="S15" s="13"/>
    </row>
    <row r="16" spans="1:19" x14ac:dyDescent="0.25">
      <c r="A16" s="1" t="s">
        <v>40</v>
      </c>
      <c r="B16" s="12"/>
      <c r="C16" s="12">
        <f>50.95/2</f>
        <v>25.475000000000001</v>
      </c>
      <c r="D16" s="12"/>
      <c r="E16" s="14">
        <f t="shared" si="0"/>
        <v>25.475000000000001</v>
      </c>
      <c r="F16" s="12">
        <f>50.5/2</f>
        <v>25.25</v>
      </c>
      <c r="G16" s="12"/>
      <c r="H16" s="12">
        <f>55.65/2</f>
        <v>27.824999999999999</v>
      </c>
      <c r="I16" s="14">
        <f t="shared" si="1"/>
        <v>53.075000000000003</v>
      </c>
      <c r="J16" s="12"/>
      <c r="K16" s="12">
        <f>48.24/2</f>
        <v>24.12</v>
      </c>
      <c r="L16" s="12"/>
      <c r="M16" s="14">
        <f t="shared" si="2"/>
        <v>24.12</v>
      </c>
      <c r="N16" s="12">
        <f>48.54/2</f>
        <v>24.27</v>
      </c>
      <c r="O16" s="12"/>
      <c r="P16" s="12">
        <f>55.19/2</f>
        <v>27.594999999999999</v>
      </c>
      <c r="Q16" s="15">
        <f t="shared" si="3"/>
        <v>51.864999999999995</v>
      </c>
      <c r="R16" s="12">
        <f>+SUM($B16:$D16,$F16:$H16,$J16:$L16,$N16:$P16)</f>
        <v>154.535</v>
      </c>
      <c r="S16" s="13"/>
    </row>
    <row r="17" spans="1:19" x14ac:dyDescent="0.25">
      <c r="A17" s="1" t="s">
        <v>41</v>
      </c>
      <c r="B17" s="12"/>
      <c r="C17" s="12"/>
      <c r="D17" s="12"/>
      <c r="E17" s="14">
        <f t="shared" si="0"/>
        <v>0</v>
      </c>
      <c r="F17" s="12"/>
      <c r="G17" s="12"/>
      <c r="H17" s="12"/>
      <c r="I17" s="14">
        <f t="shared" si="1"/>
        <v>0</v>
      </c>
      <c r="J17" s="12"/>
      <c r="K17" s="12"/>
      <c r="L17" s="12"/>
      <c r="M17" s="14">
        <f t="shared" si="2"/>
        <v>0</v>
      </c>
      <c r="N17" s="12"/>
      <c r="O17" s="12"/>
      <c r="P17" s="12"/>
      <c r="Q17" s="15">
        <f t="shared" si="3"/>
        <v>0</v>
      </c>
      <c r="R17" s="12"/>
      <c r="S17" s="13"/>
    </row>
    <row r="18" spans="1:19" x14ac:dyDescent="0.25">
      <c r="A18" s="1" t="s">
        <v>32</v>
      </c>
      <c r="B18" s="12"/>
      <c r="C18" s="12">
        <v>87.36</v>
      </c>
      <c r="D18" s="12"/>
      <c r="E18" s="14">
        <f t="shared" si="0"/>
        <v>87.36</v>
      </c>
      <c r="F18" s="12"/>
      <c r="G18" s="12"/>
      <c r="H18" s="12">
        <v>87.74</v>
      </c>
      <c r="I18" s="14">
        <f t="shared" si="1"/>
        <v>87.74</v>
      </c>
      <c r="J18" s="12"/>
      <c r="K18" s="12"/>
      <c r="L18" s="12">
        <v>159.21</v>
      </c>
      <c r="M18" s="14">
        <f t="shared" si="2"/>
        <v>159.21</v>
      </c>
      <c r="N18" s="12"/>
      <c r="O18" s="12"/>
      <c r="P18" s="12"/>
      <c r="Q18" s="15">
        <f t="shared" si="3"/>
        <v>0</v>
      </c>
      <c r="R18" s="12">
        <f t="shared" si="5"/>
        <v>334.31</v>
      </c>
    </row>
    <row r="19" spans="1:19" x14ac:dyDescent="0.25">
      <c r="A19" s="1" t="s">
        <v>33</v>
      </c>
      <c r="B19" s="12">
        <v>727.26</v>
      </c>
      <c r="C19" s="12"/>
      <c r="D19" s="12"/>
      <c r="E19" s="14">
        <f t="shared" si="0"/>
        <v>727.26</v>
      </c>
      <c r="F19" s="12"/>
      <c r="G19" s="12"/>
      <c r="H19" s="12"/>
      <c r="I19" s="14">
        <f t="shared" si="1"/>
        <v>0</v>
      </c>
      <c r="J19" s="12"/>
      <c r="K19" s="12"/>
      <c r="L19" s="12"/>
      <c r="M19" s="14">
        <f t="shared" si="2"/>
        <v>0</v>
      </c>
      <c r="N19" s="12"/>
      <c r="O19" s="12"/>
      <c r="P19" s="12"/>
      <c r="Q19" s="15">
        <f t="shared" si="3"/>
        <v>0</v>
      </c>
      <c r="R19" s="12">
        <f t="shared" si="5"/>
        <v>727.26</v>
      </c>
    </row>
    <row r="20" spans="1:19" x14ac:dyDescent="0.25">
      <c r="A20" s="1" t="s">
        <v>34</v>
      </c>
      <c r="B20" s="12"/>
      <c r="C20" s="12"/>
      <c r="D20" s="12"/>
      <c r="E20" s="14">
        <f t="shared" si="0"/>
        <v>0</v>
      </c>
      <c r="F20" s="12"/>
      <c r="G20" s="12"/>
      <c r="H20" s="12">
        <v>76.09</v>
      </c>
      <c r="I20" s="14">
        <f t="shared" si="1"/>
        <v>76.09</v>
      </c>
      <c r="J20" s="12"/>
      <c r="K20" s="12"/>
      <c r="L20" s="12"/>
      <c r="M20" s="14">
        <f t="shared" si="2"/>
        <v>0</v>
      </c>
      <c r="N20" s="12"/>
      <c r="O20" s="12"/>
      <c r="P20" s="12"/>
      <c r="Q20" s="15">
        <f t="shared" si="3"/>
        <v>0</v>
      </c>
      <c r="R20" s="12">
        <f t="shared" si="5"/>
        <v>76.09</v>
      </c>
    </row>
    <row r="21" spans="1:19" x14ac:dyDescent="0.25">
      <c r="A21" s="1" t="s">
        <v>35</v>
      </c>
      <c r="B21" s="12"/>
      <c r="C21" s="12"/>
      <c r="D21" s="12"/>
      <c r="E21" s="14">
        <f t="shared" si="0"/>
        <v>0</v>
      </c>
      <c r="F21" s="12"/>
      <c r="G21" s="12"/>
      <c r="H21" s="12"/>
      <c r="I21" s="14">
        <f t="shared" si="1"/>
        <v>0</v>
      </c>
      <c r="J21" s="12">
        <v>78.650000000000006</v>
      </c>
      <c r="K21" s="12"/>
      <c r="L21" s="12"/>
      <c r="M21" s="14">
        <f t="shared" si="2"/>
        <v>78.650000000000006</v>
      </c>
      <c r="N21" s="12"/>
      <c r="O21" s="12"/>
      <c r="P21" s="12"/>
      <c r="Q21" s="15">
        <f t="shared" si="3"/>
        <v>0</v>
      </c>
      <c r="R21" s="12">
        <f t="shared" si="5"/>
        <v>78.650000000000006</v>
      </c>
    </row>
    <row r="22" spans="1:19" x14ac:dyDescent="0.25">
      <c r="A22" s="1" t="s">
        <v>44</v>
      </c>
      <c r="B22" s="12">
        <f>1371.5+1703.45</f>
        <v>3074.95</v>
      </c>
      <c r="C22" s="12">
        <f>1371.5+1703.45</f>
        <v>3074.95</v>
      </c>
      <c r="D22" s="12">
        <f>1318.22+1703.45</f>
        <v>3021.67</v>
      </c>
      <c r="E22" s="14">
        <f t="shared" si="0"/>
        <v>9171.57</v>
      </c>
      <c r="F22" s="12">
        <f>1371.56+1703.45</f>
        <v>3075.01</v>
      </c>
      <c r="G22" s="12">
        <f>1371.56+1703.45</f>
        <v>3075.01</v>
      </c>
      <c r="H22" s="12">
        <f>1371.56+1703.45+1371.56+1703.45</f>
        <v>6150.0199999999995</v>
      </c>
      <c r="I22" s="14">
        <f t="shared" si="1"/>
        <v>12300.04</v>
      </c>
      <c r="J22" s="12">
        <f>1371.56+1703.45</f>
        <v>3075.01</v>
      </c>
      <c r="K22" s="12">
        <f>1371.56+1703.45</f>
        <v>3075.01</v>
      </c>
      <c r="L22" s="12">
        <f>1381.85+1716.23</f>
        <v>3098.08</v>
      </c>
      <c r="M22" s="14">
        <f t="shared" si="2"/>
        <v>9248.1</v>
      </c>
      <c r="N22" s="12">
        <f>1374.99+1707.71</f>
        <v>3082.7</v>
      </c>
      <c r="O22" s="12">
        <f>1374.99+1707.71</f>
        <v>3082.7</v>
      </c>
      <c r="P22" s="12">
        <f>1374.99+1374.99+1707.71+1707.71</f>
        <v>6165.4000000000005</v>
      </c>
      <c r="Q22" s="15">
        <f t="shared" si="3"/>
        <v>12330.8</v>
      </c>
      <c r="R22" s="12">
        <f>+SUM($B22:$D22,$F22:$H22,$J22:$L22,$N22:$P22)</f>
        <v>43050.51</v>
      </c>
    </row>
    <row r="23" spans="1:19" x14ac:dyDescent="0.25">
      <c r="A23" s="1" t="s">
        <v>45</v>
      </c>
      <c r="B23" s="12">
        <v>1145.68</v>
      </c>
      <c r="C23" s="12">
        <v>1145.68</v>
      </c>
      <c r="D23" s="12">
        <v>1128.29</v>
      </c>
      <c r="E23" s="14">
        <f t="shared" si="0"/>
        <v>3419.65</v>
      </c>
      <c r="F23" s="12">
        <v>1145.68</v>
      </c>
      <c r="G23" s="12">
        <v>1146.68</v>
      </c>
      <c r="H23" s="12">
        <v>1145.68</v>
      </c>
      <c r="I23" s="14">
        <f t="shared" si="1"/>
        <v>3438.04</v>
      </c>
      <c r="J23" s="12">
        <v>1145.68</v>
      </c>
      <c r="K23" s="12">
        <v>1145.68</v>
      </c>
      <c r="L23" s="12">
        <v>1153.47</v>
      </c>
      <c r="M23" s="14">
        <f t="shared" si="2"/>
        <v>3444.83</v>
      </c>
      <c r="N23" s="12">
        <v>1148.55</v>
      </c>
      <c r="O23" s="12">
        <v>1148.55</v>
      </c>
      <c r="P23" s="12">
        <v>1148.55</v>
      </c>
      <c r="Q23" s="15">
        <f t="shared" si="3"/>
        <v>3445.6499999999996</v>
      </c>
      <c r="R23" s="12">
        <f>+SUM($B23:$D23,$F23:$H23,$J23:$L23,$N23:$P23)</f>
        <v>13748.169999999998</v>
      </c>
    </row>
    <row r="24" spans="1:19" x14ac:dyDescent="0.25">
      <c r="A24" s="1" t="s">
        <v>42</v>
      </c>
      <c r="B24" s="12">
        <f>629.22*0.35</f>
        <v>220.227</v>
      </c>
      <c r="C24" s="12">
        <f t="shared" ref="C24:D24" si="6">629.22*0.35</f>
        <v>220.227</v>
      </c>
      <c r="D24" s="12">
        <f t="shared" si="6"/>
        <v>220.227</v>
      </c>
      <c r="E24" s="14">
        <f t="shared" si="0"/>
        <v>660.68100000000004</v>
      </c>
      <c r="F24" s="12">
        <f>638.76*0.35</f>
        <v>223.56599999999997</v>
      </c>
      <c r="G24" s="12">
        <f t="shared" ref="G24" si="7">638.76*0.35</f>
        <v>223.56599999999997</v>
      </c>
      <c r="H24" s="12">
        <f>(638.76*2)*0.35</f>
        <v>447.13199999999995</v>
      </c>
      <c r="I24" s="14">
        <f t="shared" si="1"/>
        <v>894.2639999999999</v>
      </c>
      <c r="J24" s="12">
        <f t="shared" ref="J24:K24" si="8">638.76*0.35</f>
        <v>223.56599999999997</v>
      </c>
      <c r="K24" s="12">
        <f t="shared" si="8"/>
        <v>223.56599999999997</v>
      </c>
      <c r="L24" s="12">
        <f>643.54*0.35</f>
        <v>225.23899999999998</v>
      </c>
      <c r="M24" s="14">
        <f t="shared" si="2"/>
        <v>672.37099999999987</v>
      </c>
      <c r="N24" s="12">
        <f>643.54*0.35</f>
        <v>225.23899999999998</v>
      </c>
      <c r="O24" s="12">
        <f>640.35*0.35</f>
        <v>224.1225</v>
      </c>
      <c r="P24" s="12">
        <f>+(686.07+640.36)*0.35</f>
        <v>464.25049999999999</v>
      </c>
      <c r="Q24" s="15">
        <f t="shared" si="3"/>
        <v>913.61199999999997</v>
      </c>
      <c r="R24" s="12">
        <f>+E24+I24+M24+Q24</f>
        <v>3140.9279999999999</v>
      </c>
    </row>
    <row r="25" spans="1:19" x14ac:dyDescent="0.25">
      <c r="A25" s="1" t="s">
        <v>43</v>
      </c>
      <c r="B25" s="12">
        <f>254.74*0.35</f>
        <v>89.158999999999992</v>
      </c>
      <c r="C25" s="12">
        <f>254.74*0.35</f>
        <v>89.158999999999992</v>
      </c>
      <c r="D25" s="12">
        <f>254.74*0.35</f>
        <v>89.158999999999992</v>
      </c>
      <c r="E25" s="14">
        <f t="shared" si="0"/>
        <v>267.47699999999998</v>
      </c>
      <c r="F25" s="12">
        <f>258.59*0.35</f>
        <v>90.506499999999988</v>
      </c>
      <c r="G25" s="12">
        <f>258.59*0.35</f>
        <v>90.506499999999988</v>
      </c>
      <c r="H25" s="12">
        <f>258.59*0.35</f>
        <v>90.506499999999988</v>
      </c>
      <c r="I25" s="14">
        <f t="shared" si="1"/>
        <v>271.51949999999999</v>
      </c>
      <c r="J25" s="12">
        <f>258.59*0.35</f>
        <v>90.506499999999988</v>
      </c>
      <c r="K25" s="12">
        <f>298.2*0.35</f>
        <v>104.36999999999999</v>
      </c>
      <c r="L25" s="12">
        <f>260.34*0.35</f>
        <v>91.118999999999986</v>
      </c>
      <c r="M25" s="14">
        <f t="shared" si="2"/>
        <v>285.99549999999994</v>
      </c>
      <c r="N25" s="12">
        <f>259.24*0.35</f>
        <v>90.733999999999995</v>
      </c>
      <c r="O25" s="12">
        <f>259.24*0.35</f>
        <v>90.733999999999995</v>
      </c>
      <c r="P25" s="12">
        <f>317.12*0.35</f>
        <v>110.99199999999999</v>
      </c>
      <c r="Q25" s="15">
        <f t="shared" si="3"/>
        <v>292.45999999999998</v>
      </c>
      <c r="R25" s="12"/>
    </row>
    <row r="26" spans="1:19" x14ac:dyDescent="0.25">
      <c r="A26" s="1" t="s">
        <v>17</v>
      </c>
      <c r="B26" s="12"/>
      <c r="C26" s="12"/>
      <c r="D26" s="12"/>
      <c r="E26" s="14">
        <f t="shared" si="0"/>
        <v>0</v>
      </c>
      <c r="F26" s="12"/>
      <c r="G26" s="12"/>
      <c r="H26" s="12"/>
      <c r="I26" s="14">
        <f t="shared" si="1"/>
        <v>0</v>
      </c>
      <c r="J26" s="12"/>
      <c r="K26" s="12">
        <f>114.16*0.35</f>
        <v>39.955999999999996</v>
      </c>
      <c r="L26" s="12"/>
      <c r="M26" s="14">
        <f t="shared" si="2"/>
        <v>39.955999999999996</v>
      </c>
      <c r="N26" s="24"/>
      <c r="O26" s="12"/>
      <c r="P26" s="12">
        <f>113.48*0.35</f>
        <v>39.717999999999996</v>
      </c>
      <c r="Q26" s="15">
        <f t="shared" si="3"/>
        <v>39.717999999999996</v>
      </c>
      <c r="R26" s="12">
        <f t="shared" si="5"/>
        <v>79.673999999999992</v>
      </c>
    </row>
    <row r="27" spans="1:19" x14ac:dyDescent="0.25">
      <c r="A27" s="5" t="s">
        <v>24</v>
      </c>
      <c r="B27" s="16">
        <f>SUM(B10:B26)</f>
        <v>6744.6609999999991</v>
      </c>
      <c r="C27" s="16">
        <f t="shared" ref="C27:P27" si="9">SUM(C10:C26)</f>
        <v>6421.1809999999996</v>
      </c>
      <c r="D27" s="16">
        <f t="shared" si="9"/>
        <v>4966.2259999999997</v>
      </c>
      <c r="E27" s="16">
        <f t="shared" si="9"/>
        <v>18132.067999999999</v>
      </c>
      <c r="F27" s="16">
        <f t="shared" si="9"/>
        <v>5815.1475000000009</v>
      </c>
      <c r="G27" s="16">
        <f t="shared" si="9"/>
        <v>4996.0025000000005</v>
      </c>
      <c r="H27" s="16">
        <f t="shared" si="9"/>
        <v>8394.0635000000002</v>
      </c>
      <c r="I27" s="16">
        <f t="shared" si="9"/>
        <v>19205.213499999998</v>
      </c>
      <c r="J27" s="16">
        <f t="shared" si="9"/>
        <v>4931.982500000001</v>
      </c>
      <c r="K27" s="16">
        <f t="shared" si="9"/>
        <v>4956.4319999999998</v>
      </c>
      <c r="L27" s="16">
        <f t="shared" si="9"/>
        <v>5031.0379999999996</v>
      </c>
      <c r="M27" s="16">
        <f t="shared" si="9"/>
        <v>14919.452499999999</v>
      </c>
      <c r="N27" s="16">
        <f t="shared" si="9"/>
        <v>4965.6229999999996</v>
      </c>
      <c r="O27" s="16">
        <f t="shared" si="9"/>
        <v>7053.239833333334</v>
      </c>
      <c r="P27" s="16">
        <f t="shared" si="9"/>
        <v>9672.8755000000019</v>
      </c>
      <c r="Q27" s="17">
        <f t="shared" ref="Q27" si="10">SUM(Q10:Q26)</f>
        <v>21691.738333333335</v>
      </c>
      <c r="R27" s="16">
        <f>SUM(R10:R26)</f>
        <v>70507.095333333331</v>
      </c>
      <c r="S27" s="24"/>
    </row>
    <row r="28" spans="1:19" x14ac:dyDescent="0.25">
      <c r="A28" s="1"/>
      <c r="B28" s="12"/>
      <c r="C28" s="12"/>
      <c r="D28" s="12"/>
      <c r="E28" s="14"/>
      <c r="F28" s="12"/>
      <c r="G28" s="12"/>
      <c r="H28" s="12"/>
      <c r="I28" s="14"/>
      <c r="J28" s="12"/>
      <c r="K28" s="12"/>
      <c r="L28" s="12"/>
      <c r="M28" s="14"/>
      <c r="N28" s="12"/>
      <c r="O28" s="12"/>
      <c r="P28" s="12"/>
      <c r="Q28" s="15"/>
      <c r="R28" s="12"/>
    </row>
    <row r="29" spans="1:19" x14ac:dyDescent="0.25">
      <c r="A29" s="1"/>
      <c r="B29" s="12"/>
      <c r="C29" s="12"/>
      <c r="D29" s="12"/>
      <c r="E29" s="14"/>
      <c r="F29" s="12"/>
      <c r="G29" s="12"/>
      <c r="H29" s="12"/>
      <c r="I29" s="14"/>
      <c r="J29" s="12"/>
      <c r="K29" s="12"/>
      <c r="L29" s="12"/>
      <c r="M29" s="14"/>
      <c r="N29" s="12"/>
      <c r="O29" s="12"/>
      <c r="P29" s="12"/>
      <c r="Q29" s="15"/>
      <c r="R29" s="12"/>
    </row>
    <row r="30" spans="1:19" x14ac:dyDescent="0.25">
      <c r="A30" s="6" t="s">
        <v>15</v>
      </c>
      <c r="B30" s="18">
        <f t="shared" ref="B30:R30" si="11">B9-B27</f>
        <v>-6744.6609999999991</v>
      </c>
      <c r="C30" s="18">
        <f t="shared" si="11"/>
        <v>-6421.1809999999996</v>
      </c>
      <c r="D30" s="18">
        <f t="shared" si="11"/>
        <v>-4966.2259999999997</v>
      </c>
      <c r="E30" s="18">
        <f t="shared" si="11"/>
        <v>-18132.067999999999</v>
      </c>
      <c r="F30" s="18">
        <f t="shared" si="11"/>
        <v>-5815.1475000000009</v>
      </c>
      <c r="G30" s="18">
        <f t="shared" si="11"/>
        <v>-4996.0025000000005</v>
      </c>
      <c r="H30" s="18">
        <f t="shared" si="11"/>
        <v>-8394.0635000000002</v>
      </c>
      <c r="I30" s="18">
        <f t="shared" si="11"/>
        <v>-19205.213499999998</v>
      </c>
      <c r="J30" s="18">
        <f t="shared" si="11"/>
        <v>-4931.982500000001</v>
      </c>
      <c r="K30" s="18">
        <f t="shared" si="11"/>
        <v>-4956.4319999999998</v>
      </c>
      <c r="L30" s="18">
        <f t="shared" si="11"/>
        <v>-5031.0379999999996</v>
      </c>
      <c r="M30" s="18">
        <f t="shared" si="11"/>
        <v>-14919.452499999999</v>
      </c>
      <c r="N30" s="18">
        <f t="shared" si="11"/>
        <v>-4965.6229999999996</v>
      </c>
      <c r="O30" s="18">
        <f t="shared" si="11"/>
        <v>-7053.239833333334</v>
      </c>
      <c r="P30" s="18">
        <f t="shared" si="11"/>
        <v>-7172.8755000000019</v>
      </c>
      <c r="Q30" s="19">
        <f t="shared" si="11"/>
        <v>-19191.738333333335</v>
      </c>
      <c r="R30" s="18">
        <f t="shared" si="11"/>
        <v>-68007.095333333331</v>
      </c>
    </row>
    <row r="34" spans="1:18" x14ac:dyDescent="0.25">
      <c r="A34" s="26">
        <v>2020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9"/>
    </row>
    <row r="35" spans="1:18" x14ac:dyDescent="0.25">
      <c r="A35" s="1"/>
      <c r="B35" s="2" t="s">
        <v>0</v>
      </c>
      <c r="C35" s="2" t="s">
        <v>1</v>
      </c>
      <c r="D35" s="2" t="s">
        <v>2</v>
      </c>
      <c r="E35" s="3" t="s">
        <v>22</v>
      </c>
      <c r="F35" s="2" t="s">
        <v>3</v>
      </c>
      <c r="G35" s="2" t="s">
        <v>4</v>
      </c>
      <c r="H35" s="2" t="s">
        <v>5</v>
      </c>
      <c r="I35" s="3" t="s">
        <v>19</v>
      </c>
      <c r="J35" s="2" t="s">
        <v>6</v>
      </c>
      <c r="K35" s="2" t="s">
        <v>7</v>
      </c>
      <c r="L35" s="2" t="s">
        <v>8</v>
      </c>
      <c r="M35" s="3" t="s">
        <v>20</v>
      </c>
      <c r="N35" s="2" t="s">
        <v>9</v>
      </c>
      <c r="O35" s="2" t="s">
        <v>10</v>
      </c>
      <c r="P35" s="2" t="s">
        <v>11</v>
      </c>
      <c r="Q35" s="7" t="s">
        <v>21</v>
      </c>
      <c r="R35" s="8" t="s">
        <v>27</v>
      </c>
    </row>
    <row r="36" spans="1:18" x14ac:dyDescent="0.25">
      <c r="A36" s="1" t="s">
        <v>12</v>
      </c>
      <c r="B36" s="12"/>
      <c r="C36" s="12"/>
      <c r="D36" s="12"/>
      <c r="E36" s="14">
        <f t="shared" ref="E36:E52" si="12">SUM(B36:D36)</f>
        <v>0</v>
      </c>
      <c r="F36" s="12"/>
      <c r="G36" s="12"/>
      <c r="H36" s="12"/>
      <c r="I36" s="14">
        <f t="shared" ref="I36:I53" si="13">SUM(F36:H36)</f>
        <v>0</v>
      </c>
      <c r="J36" s="12"/>
      <c r="K36" s="12"/>
      <c r="L36" s="12"/>
      <c r="M36" s="14">
        <f t="shared" ref="M36:M41" si="14">SUM(J36:L36)</f>
        <v>0</v>
      </c>
      <c r="N36" s="12"/>
      <c r="O36" s="12"/>
      <c r="P36" s="12"/>
      <c r="Q36" s="15">
        <f t="shared" ref="Q36:Q41" si="15">SUM(N36:P36)</f>
        <v>0</v>
      </c>
      <c r="R36" s="12"/>
    </row>
    <row r="37" spans="1:18" x14ac:dyDescent="0.25">
      <c r="A37" s="1" t="s">
        <v>13</v>
      </c>
      <c r="B37" s="12"/>
      <c r="C37" s="12"/>
      <c r="D37" s="12"/>
      <c r="E37" s="14">
        <f t="shared" si="12"/>
        <v>0</v>
      </c>
      <c r="F37" s="12"/>
      <c r="G37" s="12"/>
      <c r="H37" s="12"/>
      <c r="I37" s="14">
        <f t="shared" si="13"/>
        <v>0</v>
      </c>
      <c r="J37" s="12"/>
      <c r="K37" s="12"/>
      <c r="L37" s="12"/>
      <c r="M37" s="14">
        <f t="shared" si="14"/>
        <v>0</v>
      </c>
      <c r="N37" s="12"/>
      <c r="O37" s="12"/>
      <c r="P37" s="12"/>
      <c r="Q37" s="15">
        <f t="shared" si="15"/>
        <v>0</v>
      </c>
      <c r="R37" s="12"/>
    </row>
    <row r="38" spans="1:18" x14ac:dyDescent="0.25">
      <c r="A38" s="1" t="s">
        <v>14</v>
      </c>
      <c r="B38" s="12"/>
      <c r="C38" s="12"/>
      <c r="D38" s="12"/>
      <c r="E38" s="14">
        <f t="shared" si="12"/>
        <v>0</v>
      </c>
      <c r="F38" s="12"/>
      <c r="G38" s="12"/>
      <c r="H38" s="12"/>
      <c r="I38" s="14">
        <f t="shared" si="13"/>
        <v>0</v>
      </c>
      <c r="J38" s="12"/>
      <c r="K38" s="12"/>
      <c r="L38" s="12"/>
      <c r="M38" s="14">
        <f t="shared" si="14"/>
        <v>0</v>
      </c>
      <c r="N38" s="12"/>
      <c r="O38" s="12"/>
      <c r="P38" s="12"/>
      <c r="Q38" s="15">
        <f t="shared" si="15"/>
        <v>0</v>
      </c>
      <c r="R38" s="12"/>
    </row>
    <row r="39" spans="1:18" x14ac:dyDescent="0.25">
      <c r="A39" s="1" t="s">
        <v>25</v>
      </c>
      <c r="B39" s="12"/>
      <c r="C39" s="12"/>
      <c r="D39" s="12"/>
      <c r="E39" s="14">
        <f t="shared" si="12"/>
        <v>0</v>
      </c>
      <c r="F39" s="12"/>
      <c r="G39" s="12"/>
      <c r="H39" s="12"/>
      <c r="I39" s="14">
        <f t="shared" si="13"/>
        <v>0</v>
      </c>
      <c r="J39" s="12"/>
      <c r="K39" s="12"/>
      <c r="L39" s="12"/>
      <c r="M39" s="14">
        <f t="shared" si="14"/>
        <v>0</v>
      </c>
      <c r="N39" s="12"/>
      <c r="O39" s="12"/>
      <c r="P39" s="12"/>
      <c r="Q39" s="15">
        <f t="shared" si="15"/>
        <v>0</v>
      </c>
      <c r="R39" s="12"/>
    </row>
    <row r="40" spans="1:18" x14ac:dyDescent="0.25">
      <c r="A40" s="1" t="s">
        <v>26</v>
      </c>
      <c r="B40" s="12"/>
      <c r="C40" s="12"/>
      <c r="D40" s="12"/>
      <c r="E40" s="14">
        <f t="shared" si="12"/>
        <v>0</v>
      </c>
      <c r="F40" s="12"/>
      <c r="G40" s="12"/>
      <c r="H40" s="12"/>
      <c r="I40" s="14">
        <f t="shared" si="13"/>
        <v>0</v>
      </c>
      <c r="J40" s="12"/>
      <c r="K40" s="12"/>
      <c r="L40" s="12"/>
      <c r="M40" s="14">
        <f t="shared" si="14"/>
        <v>0</v>
      </c>
      <c r="N40" s="12"/>
      <c r="O40" s="12"/>
      <c r="P40" s="12"/>
      <c r="Q40" s="15">
        <f t="shared" si="15"/>
        <v>0</v>
      </c>
      <c r="R40" s="12"/>
    </row>
    <row r="41" spans="1:18" x14ac:dyDescent="0.25">
      <c r="A41" s="1" t="s">
        <v>18</v>
      </c>
      <c r="B41" s="12"/>
      <c r="C41" s="12"/>
      <c r="D41" s="12"/>
      <c r="E41" s="14">
        <f t="shared" si="12"/>
        <v>0</v>
      </c>
      <c r="F41" s="12"/>
      <c r="G41" s="12"/>
      <c r="H41" s="12"/>
      <c r="I41" s="14">
        <f t="shared" si="13"/>
        <v>0</v>
      </c>
      <c r="J41" s="12"/>
      <c r="K41" s="12"/>
      <c r="L41" s="12"/>
      <c r="M41" s="14">
        <f t="shared" si="14"/>
        <v>0</v>
      </c>
      <c r="N41" s="12"/>
      <c r="O41" s="12"/>
      <c r="P41" s="12"/>
      <c r="Q41" s="15">
        <f t="shared" si="15"/>
        <v>0</v>
      </c>
      <c r="R41" s="12"/>
    </row>
    <row r="42" spans="1:18" x14ac:dyDescent="0.25">
      <c r="A42" s="4" t="s">
        <v>23</v>
      </c>
      <c r="B42" s="20">
        <f t="shared" ref="B42:R42" si="16">SUM(B36:B41)</f>
        <v>0</v>
      </c>
      <c r="C42" s="20">
        <f t="shared" si="16"/>
        <v>0</v>
      </c>
      <c r="D42" s="20">
        <f t="shared" si="16"/>
        <v>0</v>
      </c>
      <c r="E42" s="20">
        <f t="shared" si="16"/>
        <v>0</v>
      </c>
      <c r="F42" s="20">
        <f t="shared" si="16"/>
        <v>0</v>
      </c>
      <c r="G42" s="20">
        <f t="shared" si="16"/>
        <v>0</v>
      </c>
      <c r="H42" s="20">
        <f t="shared" si="16"/>
        <v>0</v>
      </c>
      <c r="I42" s="20">
        <f t="shared" si="16"/>
        <v>0</v>
      </c>
      <c r="J42" s="20">
        <f t="shared" si="16"/>
        <v>0</v>
      </c>
      <c r="K42" s="20">
        <f t="shared" si="16"/>
        <v>0</v>
      </c>
      <c r="L42" s="20">
        <f t="shared" si="16"/>
        <v>0</v>
      </c>
      <c r="M42" s="20">
        <f t="shared" si="16"/>
        <v>0</v>
      </c>
      <c r="N42" s="20">
        <f t="shared" si="16"/>
        <v>0</v>
      </c>
      <c r="O42" s="20">
        <f t="shared" si="16"/>
        <v>0</v>
      </c>
      <c r="P42" s="20">
        <f t="shared" si="16"/>
        <v>0</v>
      </c>
      <c r="Q42" s="21">
        <f t="shared" si="16"/>
        <v>0</v>
      </c>
      <c r="R42" s="20">
        <f t="shared" si="16"/>
        <v>0</v>
      </c>
    </row>
    <row r="43" spans="1:18" x14ac:dyDescent="0.25">
      <c r="A43" s="1" t="s">
        <v>29</v>
      </c>
      <c r="B43" s="12">
        <v>46.9</v>
      </c>
      <c r="C43" s="12">
        <v>44.65</v>
      </c>
      <c r="D43" s="12">
        <v>11.9</v>
      </c>
      <c r="E43" s="14">
        <f t="shared" si="12"/>
        <v>103.45</v>
      </c>
      <c r="F43" s="12"/>
      <c r="G43" s="12"/>
      <c r="H43" s="12"/>
      <c r="I43" s="14">
        <f t="shared" si="13"/>
        <v>0</v>
      </c>
      <c r="J43" s="12"/>
      <c r="K43" s="12"/>
      <c r="L43" s="12"/>
      <c r="M43" s="14">
        <f t="shared" ref="M43:M53" si="17">SUM(J43:L43)</f>
        <v>0</v>
      </c>
      <c r="N43" s="12"/>
      <c r="O43" s="12"/>
      <c r="P43" s="12"/>
      <c r="Q43" s="14">
        <f t="shared" ref="Q43:Q53" si="18">SUM(N43:P43)</f>
        <v>0</v>
      </c>
      <c r="R43" s="12">
        <f>+E43+I43+M43+Q43</f>
        <v>103.45</v>
      </c>
    </row>
    <row r="44" spans="1:18" x14ac:dyDescent="0.25">
      <c r="A44" s="1" t="s">
        <v>38</v>
      </c>
      <c r="B44" s="12">
        <f>324.4/2</f>
        <v>162.19999999999999</v>
      </c>
      <c r="C44" s="12">
        <f>310.89/2</f>
        <v>155.44499999999999</v>
      </c>
      <c r="D44" s="12">
        <f>332.87/2</f>
        <v>166.435</v>
      </c>
      <c r="E44" s="14">
        <f t="shared" si="12"/>
        <v>484.08</v>
      </c>
      <c r="F44" s="12"/>
      <c r="G44" s="12"/>
      <c r="H44" s="12"/>
      <c r="I44" s="14">
        <f t="shared" si="13"/>
        <v>0</v>
      </c>
      <c r="J44" s="12"/>
      <c r="K44" s="12"/>
      <c r="L44" s="12"/>
      <c r="M44" s="14">
        <f t="shared" si="17"/>
        <v>0</v>
      </c>
      <c r="N44" s="12"/>
      <c r="O44" s="12"/>
      <c r="P44" s="12"/>
      <c r="Q44" s="14">
        <f t="shared" si="18"/>
        <v>0</v>
      </c>
      <c r="R44" s="12">
        <f t="shared" ref="R44:R53" si="19">+E44+I44+M44+Q44</f>
        <v>484.08</v>
      </c>
    </row>
    <row r="45" spans="1:18" x14ac:dyDescent="0.25">
      <c r="A45" s="1" t="s">
        <v>37</v>
      </c>
      <c r="B45" s="12">
        <v>29.46</v>
      </c>
      <c r="C45" s="12">
        <v>29.46</v>
      </c>
      <c r="D45" s="12">
        <v>29.46</v>
      </c>
      <c r="E45" s="14">
        <f t="shared" si="12"/>
        <v>88.38</v>
      </c>
      <c r="F45" s="12">
        <v>29.46</v>
      </c>
      <c r="G45" s="12">
        <v>29.46</v>
      </c>
      <c r="H45" s="12"/>
      <c r="I45" s="14">
        <f t="shared" si="13"/>
        <v>58.92</v>
      </c>
      <c r="J45" s="12"/>
      <c r="K45" s="12"/>
      <c r="L45" s="12"/>
      <c r="M45" s="14">
        <f t="shared" si="17"/>
        <v>0</v>
      </c>
      <c r="N45" s="12"/>
      <c r="O45" s="12"/>
      <c r="P45" s="12"/>
      <c r="Q45" s="14">
        <f t="shared" si="18"/>
        <v>0</v>
      </c>
      <c r="R45" s="12">
        <f t="shared" si="19"/>
        <v>147.30000000000001</v>
      </c>
    </row>
    <row r="46" spans="1:18" x14ac:dyDescent="0.25">
      <c r="A46" s="1" t="s">
        <v>39</v>
      </c>
      <c r="B46" s="12"/>
      <c r="C46" s="12"/>
      <c r="D46" s="12"/>
      <c r="E46" s="14">
        <f t="shared" si="12"/>
        <v>0</v>
      </c>
      <c r="F46" s="12"/>
      <c r="G46" s="12"/>
      <c r="H46" s="12"/>
      <c r="I46" s="14">
        <f t="shared" si="13"/>
        <v>0</v>
      </c>
      <c r="J46" s="12"/>
      <c r="K46" s="12"/>
      <c r="L46" s="12"/>
      <c r="M46" s="14">
        <f t="shared" si="17"/>
        <v>0</v>
      </c>
      <c r="N46" s="12"/>
      <c r="O46" s="12"/>
      <c r="P46" s="12"/>
      <c r="Q46" s="14">
        <f t="shared" si="18"/>
        <v>0</v>
      </c>
      <c r="R46" s="12">
        <f t="shared" si="19"/>
        <v>0</v>
      </c>
    </row>
    <row r="47" spans="1:18" x14ac:dyDescent="0.25">
      <c r="A47" s="1" t="s">
        <v>40</v>
      </c>
      <c r="B47" s="12"/>
      <c r="C47" s="12">
        <f>53.83/2</f>
        <v>26.914999999999999</v>
      </c>
      <c r="D47" s="12"/>
      <c r="E47" s="14">
        <f t="shared" si="12"/>
        <v>26.914999999999999</v>
      </c>
      <c r="F47" s="12">
        <f>47.18/2</f>
        <v>23.59</v>
      </c>
      <c r="G47" s="12"/>
      <c r="H47" s="12"/>
      <c r="I47" s="14">
        <f t="shared" si="13"/>
        <v>23.59</v>
      </c>
      <c r="J47" s="12"/>
      <c r="K47" s="12"/>
      <c r="L47" s="12"/>
      <c r="M47" s="14">
        <f t="shared" si="17"/>
        <v>0</v>
      </c>
      <c r="N47" s="12"/>
      <c r="O47" s="12"/>
      <c r="P47" s="12"/>
      <c r="Q47" s="14">
        <f t="shared" si="18"/>
        <v>0</v>
      </c>
      <c r="R47" s="12">
        <f t="shared" si="19"/>
        <v>50.504999999999995</v>
      </c>
    </row>
    <row r="48" spans="1:18" x14ac:dyDescent="0.25">
      <c r="A48" s="1" t="s">
        <v>41</v>
      </c>
      <c r="B48" s="12">
        <v>410.9</v>
      </c>
      <c r="C48" s="12"/>
      <c r="D48" s="12"/>
      <c r="E48" s="14">
        <f t="shared" si="12"/>
        <v>410.9</v>
      </c>
      <c r="F48" s="12">
        <v>410.9</v>
      </c>
      <c r="G48" s="12"/>
      <c r="H48" s="12"/>
      <c r="I48" s="14">
        <f t="shared" si="13"/>
        <v>410.9</v>
      </c>
      <c r="J48" s="12"/>
      <c r="K48" s="12"/>
      <c r="L48" s="12"/>
      <c r="M48" s="14">
        <f t="shared" si="17"/>
        <v>0</v>
      </c>
      <c r="N48" s="12"/>
      <c r="O48" s="12"/>
      <c r="P48" s="12"/>
      <c r="Q48" s="14">
        <f t="shared" si="18"/>
        <v>0</v>
      </c>
      <c r="R48" s="12">
        <f t="shared" si="19"/>
        <v>821.8</v>
      </c>
    </row>
    <row r="49" spans="1:18" x14ac:dyDescent="0.25">
      <c r="A49" s="1" t="s">
        <v>16</v>
      </c>
      <c r="B49" s="12">
        <f>1374.99+1707.71</f>
        <v>3082.7</v>
      </c>
      <c r="C49" s="12">
        <f>1402.49+1741.84</f>
        <v>3144.33</v>
      </c>
      <c r="D49" s="12">
        <f>1402.43+1741.84</f>
        <v>3144.27</v>
      </c>
      <c r="E49" s="14">
        <f t="shared" si="12"/>
        <v>9371.2999999999993</v>
      </c>
      <c r="F49" s="12">
        <f>1402.43+1741.84</f>
        <v>3144.27</v>
      </c>
      <c r="G49" s="12"/>
      <c r="H49" s="12"/>
      <c r="I49" s="14">
        <f t="shared" si="13"/>
        <v>3144.27</v>
      </c>
      <c r="J49" s="12"/>
      <c r="K49" s="12"/>
      <c r="L49" s="12"/>
      <c r="M49" s="14">
        <f t="shared" si="17"/>
        <v>0</v>
      </c>
      <c r="N49" s="12"/>
      <c r="O49" s="12"/>
      <c r="P49" s="12"/>
      <c r="Q49" s="14">
        <f t="shared" si="18"/>
        <v>0</v>
      </c>
      <c r="R49" s="12">
        <f t="shared" si="19"/>
        <v>12515.57</v>
      </c>
    </row>
    <row r="50" spans="1:18" x14ac:dyDescent="0.25">
      <c r="A50" s="1" t="s">
        <v>36</v>
      </c>
      <c r="B50" s="12">
        <f>625.6+522.94</f>
        <v>1148.54</v>
      </c>
      <c r="C50" s="12">
        <f>638.09+533.4</f>
        <v>1171.49</v>
      </c>
      <c r="D50" s="12">
        <f>638.09+533.8</f>
        <v>1171.8899999999999</v>
      </c>
      <c r="E50" s="14">
        <f t="shared" si="12"/>
        <v>3491.9199999999996</v>
      </c>
      <c r="F50" s="12">
        <f>638.09+533.8</f>
        <v>1171.8899999999999</v>
      </c>
      <c r="G50" s="12"/>
      <c r="H50" s="12"/>
      <c r="I50" s="14">
        <f t="shared" si="13"/>
        <v>1171.8899999999999</v>
      </c>
      <c r="J50" s="12"/>
      <c r="K50" s="12"/>
      <c r="L50" s="12"/>
      <c r="M50" s="14">
        <f t="shared" si="17"/>
        <v>0</v>
      </c>
      <c r="N50" s="12"/>
      <c r="O50" s="12"/>
      <c r="P50" s="12"/>
      <c r="Q50" s="14">
        <f t="shared" si="18"/>
        <v>0</v>
      </c>
      <c r="R50" s="12">
        <f t="shared" si="19"/>
        <v>4663.8099999999995</v>
      </c>
    </row>
    <row r="51" spans="1:18" x14ac:dyDescent="0.25">
      <c r="A51" s="1" t="s">
        <v>42</v>
      </c>
      <c r="B51" s="12">
        <f>686.07*0.35</f>
        <v>240.12450000000001</v>
      </c>
      <c r="C51" s="12">
        <f>686.07*0.35</f>
        <v>240.12450000000001</v>
      </c>
      <c r="D51" s="12">
        <f>699.79*0.35</f>
        <v>244.92649999999998</v>
      </c>
      <c r="E51" s="14">
        <f t="shared" si="12"/>
        <v>725.17550000000006</v>
      </c>
      <c r="F51" s="12">
        <f>699.88*0.35</f>
        <v>244.95799999999997</v>
      </c>
      <c r="G51" s="12"/>
      <c r="H51" s="12"/>
      <c r="I51" s="14">
        <f t="shared" si="13"/>
        <v>244.95799999999997</v>
      </c>
      <c r="J51" s="12"/>
      <c r="K51" s="12"/>
      <c r="L51" s="12"/>
      <c r="M51" s="14">
        <f t="shared" si="17"/>
        <v>0</v>
      </c>
      <c r="N51" s="12"/>
      <c r="O51" s="12"/>
      <c r="P51" s="12"/>
      <c r="Q51" s="14">
        <f t="shared" si="18"/>
        <v>0</v>
      </c>
      <c r="R51" s="12">
        <f t="shared" si="19"/>
        <v>970.13350000000003</v>
      </c>
    </row>
    <row r="52" spans="1:18" x14ac:dyDescent="0.25">
      <c r="A52" s="1" t="s">
        <v>45</v>
      </c>
      <c r="B52" s="12">
        <f>277.74*0.35</f>
        <v>97.209000000000003</v>
      </c>
      <c r="C52" s="12">
        <f>283.31*0.35</f>
        <v>99.158499999999989</v>
      </c>
      <c r="D52" s="12">
        <f>283.34*0.35</f>
        <v>99.168999999999983</v>
      </c>
      <c r="E52" s="14">
        <f t="shared" si="12"/>
        <v>295.53649999999999</v>
      </c>
      <c r="F52" s="12">
        <f>283.34*0.35</f>
        <v>99.168999999999983</v>
      </c>
      <c r="G52" s="12"/>
      <c r="H52" s="12"/>
      <c r="I52" s="14">
        <f t="shared" si="13"/>
        <v>99.168999999999983</v>
      </c>
      <c r="J52" s="12"/>
      <c r="K52" s="12"/>
      <c r="L52" s="12"/>
      <c r="M52" s="14">
        <f t="shared" si="17"/>
        <v>0</v>
      </c>
      <c r="N52" s="12"/>
      <c r="O52" s="12"/>
      <c r="P52" s="12"/>
      <c r="Q52" s="14">
        <f t="shared" si="18"/>
        <v>0</v>
      </c>
      <c r="R52" s="12">
        <f t="shared" si="19"/>
        <v>394.70549999999997</v>
      </c>
    </row>
    <row r="53" spans="1:18" x14ac:dyDescent="0.25">
      <c r="A53" s="1" t="s">
        <v>17</v>
      </c>
      <c r="B53" s="12"/>
      <c r="C53" s="12"/>
      <c r="D53" s="12"/>
      <c r="E53" s="14"/>
      <c r="F53" s="12"/>
      <c r="G53" s="12"/>
      <c r="H53" s="12"/>
      <c r="I53" s="14">
        <f t="shared" si="13"/>
        <v>0</v>
      </c>
      <c r="J53" s="12"/>
      <c r="K53" s="12"/>
      <c r="L53" s="12"/>
      <c r="M53" s="14">
        <f t="shared" si="17"/>
        <v>0</v>
      </c>
      <c r="N53" s="12"/>
      <c r="O53" s="12"/>
      <c r="P53" s="12"/>
      <c r="Q53" s="14">
        <f t="shared" si="18"/>
        <v>0</v>
      </c>
      <c r="R53" s="12">
        <f t="shared" si="19"/>
        <v>0</v>
      </c>
    </row>
    <row r="54" spans="1:18" x14ac:dyDescent="0.25">
      <c r="A54" s="5" t="s">
        <v>24</v>
      </c>
      <c r="B54" s="16">
        <f>SUM(B43:B53)</f>
        <v>5218.0334999999995</v>
      </c>
      <c r="C54" s="16">
        <f t="shared" ref="C54" si="20">SUM(C43:C53)</f>
        <v>4911.5729999999994</v>
      </c>
      <c r="D54" s="16">
        <f t="shared" ref="D54" si="21">SUM(D43:D53)</f>
        <v>4868.0504999999994</v>
      </c>
      <c r="E54" s="16">
        <f t="shared" ref="E54" si="22">SUM(E43:E53)</f>
        <v>14997.656999999999</v>
      </c>
      <c r="F54" s="16">
        <f t="shared" ref="F54" si="23">SUM(F43:F53)</f>
        <v>5124.2369999999992</v>
      </c>
      <c r="G54" s="16">
        <f t="shared" ref="G54" si="24">SUM(G43:G53)</f>
        <v>29.46</v>
      </c>
      <c r="H54" s="16">
        <f t="shared" ref="H54" si="25">SUM(H43:H53)</f>
        <v>0</v>
      </c>
      <c r="I54" s="16">
        <f t="shared" ref="I54" si="26">SUM(I43:I53)</f>
        <v>5153.6969999999992</v>
      </c>
      <c r="J54" s="16">
        <f t="shared" ref="J54" si="27">SUM(J43:J53)</f>
        <v>0</v>
      </c>
      <c r="K54" s="16">
        <f t="shared" ref="K54" si="28">SUM(K43:K53)</f>
        <v>0</v>
      </c>
      <c r="L54" s="16">
        <f t="shared" ref="L54" si="29">SUM(L43:L53)</f>
        <v>0</v>
      </c>
      <c r="M54" s="16">
        <f t="shared" ref="M54" si="30">SUM(M43:M53)</f>
        <v>0</v>
      </c>
      <c r="N54" s="16">
        <f t="shared" ref="N54" si="31">SUM(N43:N53)</f>
        <v>0</v>
      </c>
      <c r="O54" s="16">
        <f t="shared" ref="O54" si="32">SUM(O43:O53)</f>
        <v>0</v>
      </c>
      <c r="P54" s="16">
        <f t="shared" ref="P54" si="33">SUM(P43:P53)</f>
        <v>0</v>
      </c>
      <c r="Q54" s="17">
        <f t="shared" ref="Q54" si="34">SUM(Q43:Q53)</f>
        <v>0</v>
      </c>
      <c r="R54" s="16">
        <f t="shared" ref="R54" si="35">SUM(R43:R53)</f>
        <v>20151.353999999999</v>
      </c>
    </row>
    <row r="55" spans="1:18" x14ac:dyDescent="0.25">
      <c r="A55" s="1"/>
      <c r="B55" s="12"/>
      <c r="C55" s="12"/>
      <c r="D55" s="12"/>
      <c r="E55" s="14"/>
      <c r="F55" s="12"/>
      <c r="G55" s="12"/>
      <c r="H55" s="12"/>
      <c r="I55" s="14"/>
      <c r="J55" s="12"/>
      <c r="K55" s="12"/>
      <c r="L55" s="12"/>
      <c r="M55" s="14"/>
      <c r="N55" s="12"/>
      <c r="O55" s="12"/>
      <c r="P55" s="12"/>
      <c r="Q55" s="15"/>
      <c r="R55" s="12"/>
    </row>
    <row r="56" spans="1:18" x14ac:dyDescent="0.25">
      <c r="A56" s="1"/>
      <c r="B56" s="12"/>
      <c r="C56" s="12"/>
      <c r="D56" s="12"/>
      <c r="E56" s="14"/>
      <c r="F56" s="12"/>
      <c r="G56" s="12"/>
      <c r="H56" s="12"/>
      <c r="I56" s="14"/>
      <c r="J56" s="12"/>
      <c r="K56" s="12"/>
      <c r="L56" s="12"/>
      <c r="M56" s="14"/>
      <c r="N56" s="12"/>
      <c r="O56" s="12"/>
      <c r="P56" s="12"/>
      <c r="Q56" s="15"/>
      <c r="R56" s="12"/>
    </row>
    <row r="57" spans="1:18" x14ac:dyDescent="0.25">
      <c r="A57" s="10" t="s">
        <v>15</v>
      </c>
      <c r="B57" s="22">
        <f t="shared" ref="B57:R57" si="36">B42-B54</f>
        <v>-5218.0334999999995</v>
      </c>
      <c r="C57" s="22">
        <f t="shared" si="36"/>
        <v>-4911.5729999999994</v>
      </c>
      <c r="D57" s="22">
        <f t="shared" si="36"/>
        <v>-4868.0504999999994</v>
      </c>
      <c r="E57" s="22">
        <f t="shared" si="36"/>
        <v>-14997.656999999999</v>
      </c>
      <c r="F57" s="22">
        <f t="shared" si="36"/>
        <v>-5124.2369999999992</v>
      </c>
      <c r="G57" s="22">
        <f t="shared" si="36"/>
        <v>-29.46</v>
      </c>
      <c r="H57" s="22">
        <f t="shared" si="36"/>
        <v>0</v>
      </c>
      <c r="I57" s="22">
        <f t="shared" si="36"/>
        <v>-5153.6969999999992</v>
      </c>
      <c r="J57" s="22">
        <f t="shared" si="36"/>
        <v>0</v>
      </c>
      <c r="K57" s="22">
        <f t="shared" si="36"/>
        <v>0</v>
      </c>
      <c r="L57" s="22">
        <f t="shared" si="36"/>
        <v>0</v>
      </c>
      <c r="M57" s="22">
        <f t="shared" si="36"/>
        <v>0</v>
      </c>
      <c r="N57" s="22">
        <f t="shared" si="36"/>
        <v>0</v>
      </c>
      <c r="O57" s="22">
        <f t="shared" si="36"/>
        <v>0</v>
      </c>
      <c r="P57" s="22">
        <f t="shared" si="36"/>
        <v>0</v>
      </c>
      <c r="Q57" s="23">
        <f t="shared" si="36"/>
        <v>0</v>
      </c>
      <c r="R57" s="22">
        <f t="shared" si="36"/>
        <v>-20151.353999999999</v>
      </c>
    </row>
    <row r="58" spans="1:18" x14ac:dyDescent="0.25"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</row>
    <row r="59" spans="1:18" x14ac:dyDescent="0.25"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</row>
    <row r="60" spans="1:18" x14ac:dyDescent="0.25"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</row>
    <row r="61" spans="1:18" x14ac:dyDescent="0.25">
      <c r="A61" s="11" t="s">
        <v>28</v>
      </c>
      <c r="B61" s="25">
        <f t="shared" ref="B61:R61" si="37">B57-B30</f>
        <v>1526.6274999999996</v>
      </c>
      <c r="C61" s="25">
        <f t="shared" si="37"/>
        <v>1509.6080000000002</v>
      </c>
      <c r="D61" s="25">
        <f t="shared" si="37"/>
        <v>98.175500000000284</v>
      </c>
      <c r="E61" s="25">
        <f t="shared" si="37"/>
        <v>3134.4110000000001</v>
      </c>
      <c r="F61" s="25">
        <f t="shared" si="37"/>
        <v>690.91050000000178</v>
      </c>
      <c r="G61" s="25">
        <f t="shared" si="37"/>
        <v>4966.5425000000005</v>
      </c>
      <c r="H61" s="25">
        <f t="shared" si="37"/>
        <v>8394.0635000000002</v>
      </c>
      <c r="I61" s="25">
        <f t="shared" si="37"/>
        <v>14051.516499999998</v>
      </c>
      <c r="J61" s="25">
        <f t="shared" si="37"/>
        <v>4931.982500000001</v>
      </c>
      <c r="K61" s="25">
        <f t="shared" si="37"/>
        <v>4956.4319999999998</v>
      </c>
      <c r="L61" s="25">
        <f t="shared" si="37"/>
        <v>5031.0379999999996</v>
      </c>
      <c r="M61" s="25">
        <f t="shared" si="37"/>
        <v>14919.452499999999</v>
      </c>
      <c r="N61" s="25">
        <f t="shared" si="37"/>
        <v>4965.6229999999996</v>
      </c>
      <c r="O61" s="25">
        <f t="shared" si="37"/>
        <v>7053.239833333334</v>
      </c>
      <c r="P61" s="25">
        <f t="shared" si="37"/>
        <v>7172.8755000000019</v>
      </c>
      <c r="Q61" s="25">
        <f t="shared" si="37"/>
        <v>19191.738333333335</v>
      </c>
      <c r="R61" s="25">
        <f t="shared" si="37"/>
        <v>47855.741333333332</v>
      </c>
    </row>
  </sheetData>
  <mergeCells count="2">
    <mergeCell ref="A1:Q1"/>
    <mergeCell ref="A34:Q34"/>
  </mergeCells>
  <pageMargins left="0.7" right="0.7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secretariobuitrago@outlook.es</dc:creator>
  <cp:lastModifiedBy>secretariobuitrago@outlook.es</cp:lastModifiedBy>
  <cp:lastPrinted>2020-05-25T12:42:20Z</cp:lastPrinted>
  <dcterms:created xsi:type="dcterms:W3CDTF">2020-05-05T07:46:09Z</dcterms:created>
  <dcterms:modified xsi:type="dcterms:W3CDTF">2020-05-25T12:42:45Z</dcterms:modified>
</cp:coreProperties>
</file>