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4. 2020\2º TRIMESTRE\4. INFORMES ECONÓMICOS\"/>
    </mc:Choice>
  </mc:AlternateContent>
  <bookViews>
    <workbookView xWindow="0" yWindow="0" windowWidth="20730" windowHeight="1176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7" i="1" l="1"/>
  <c r="C47" i="1"/>
  <c r="F54" i="1"/>
  <c r="I54" i="1" s="1"/>
  <c r="C54" i="1"/>
  <c r="C59" i="1" s="1"/>
  <c r="E21" i="1"/>
  <c r="P43" i="1"/>
  <c r="O43" i="1"/>
  <c r="N43" i="1"/>
  <c r="L43" i="1"/>
  <c r="K43" i="1"/>
  <c r="J43" i="1"/>
  <c r="H43" i="1"/>
  <c r="G43" i="1"/>
  <c r="F43" i="1"/>
  <c r="D43" i="1"/>
  <c r="C43" i="1"/>
  <c r="B43" i="1"/>
  <c r="E57" i="1"/>
  <c r="G51" i="1"/>
  <c r="G59" i="1" s="1"/>
  <c r="F51" i="1"/>
  <c r="D51" i="1"/>
  <c r="C51" i="1"/>
  <c r="B51" i="1"/>
  <c r="E51" i="1" s="1"/>
  <c r="P10" i="1"/>
  <c r="O10" i="1"/>
  <c r="N10" i="1"/>
  <c r="L10" i="1"/>
  <c r="K10" i="1"/>
  <c r="J10" i="1"/>
  <c r="H10" i="1"/>
  <c r="G10" i="1"/>
  <c r="F10" i="1"/>
  <c r="D10" i="1"/>
  <c r="C10" i="1"/>
  <c r="Q45" i="1"/>
  <c r="M45" i="1"/>
  <c r="I45" i="1"/>
  <c r="R45" i="1" s="1"/>
  <c r="F44" i="1"/>
  <c r="E45" i="1"/>
  <c r="F59" i="1"/>
  <c r="B44" i="1"/>
  <c r="B59" i="1" s="1"/>
  <c r="Q58" i="1"/>
  <c r="Q57" i="1"/>
  <c r="M58" i="1"/>
  <c r="M57" i="1"/>
  <c r="I58" i="1"/>
  <c r="I57" i="1"/>
  <c r="E58" i="1"/>
  <c r="R58" i="1" s="1"/>
  <c r="Q25" i="1"/>
  <c r="M25" i="1"/>
  <c r="I25" i="1"/>
  <c r="D25" i="1"/>
  <c r="E25" i="1" s="1"/>
  <c r="R25" i="1" s="1"/>
  <c r="P24" i="1"/>
  <c r="Q24" i="1" s="1"/>
  <c r="H24" i="1"/>
  <c r="H27" i="1" s="1"/>
  <c r="Q22" i="1"/>
  <c r="M22" i="1"/>
  <c r="I22" i="1"/>
  <c r="R22" i="1" s="1"/>
  <c r="E22" i="1"/>
  <c r="Q26" i="1"/>
  <c r="M26" i="1"/>
  <c r="M24" i="1"/>
  <c r="I26" i="1"/>
  <c r="E26" i="1"/>
  <c r="R26" i="1" s="1"/>
  <c r="E24" i="1"/>
  <c r="O27" i="1"/>
  <c r="G27" i="1"/>
  <c r="C27" i="1"/>
  <c r="B27" i="1"/>
  <c r="P59" i="1"/>
  <c r="O59" i="1"/>
  <c r="N59" i="1"/>
  <c r="L59" i="1"/>
  <c r="K59" i="1"/>
  <c r="J59" i="1"/>
  <c r="H59" i="1"/>
  <c r="Q56" i="1"/>
  <c r="Q55" i="1"/>
  <c r="Q54" i="1"/>
  <c r="Q53" i="1"/>
  <c r="Q52" i="1"/>
  <c r="Q51" i="1"/>
  <c r="Q50" i="1"/>
  <c r="Q49" i="1"/>
  <c r="Q48" i="1"/>
  <c r="Q47" i="1"/>
  <c r="Q46" i="1"/>
  <c r="Q44" i="1"/>
  <c r="M56" i="1"/>
  <c r="M55" i="1"/>
  <c r="M54" i="1"/>
  <c r="M53" i="1"/>
  <c r="M52" i="1"/>
  <c r="M51" i="1"/>
  <c r="M50" i="1"/>
  <c r="M49" i="1"/>
  <c r="M48" i="1"/>
  <c r="M47" i="1"/>
  <c r="M46" i="1"/>
  <c r="M59" i="1" s="1"/>
  <c r="M44" i="1"/>
  <c r="I56" i="1"/>
  <c r="I53" i="1"/>
  <c r="I52" i="1"/>
  <c r="I50" i="1"/>
  <c r="I49" i="1"/>
  <c r="I48" i="1"/>
  <c r="I47" i="1"/>
  <c r="I46" i="1"/>
  <c r="E56" i="1"/>
  <c r="E53" i="1"/>
  <c r="R53" i="1" s="1"/>
  <c r="E52" i="1"/>
  <c r="E50" i="1"/>
  <c r="E49" i="1"/>
  <c r="R49" i="1" s="1"/>
  <c r="E48" i="1"/>
  <c r="E46" i="1"/>
  <c r="F55" i="1"/>
  <c r="I55" i="1" s="1"/>
  <c r="D55" i="1"/>
  <c r="C55" i="1"/>
  <c r="B55" i="1"/>
  <c r="P20" i="1"/>
  <c r="N20" i="1"/>
  <c r="N27" i="1" s="1"/>
  <c r="K20" i="1"/>
  <c r="M20" i="1" s="1"/>
  <c r="F20" i="1"/>
  <c r="C20" i="1"/>
  <c r="E20" i="1" s="1"/>
  <c r="P17" i="1"/>
  <c r="P27" i="1" s="1"/>
  <c r="O17" i="1"/>
  <c r="N17" i="1"/>
  <c r="L17" i="1"/>
  <c r="L27" i="1" s="1"/>
  <c r="K17" i="1"/>
  <c r="K27" i="1" s="1"/>
  <c r="J17" i="1"/>
  <c r="J27" i="1" s="1"/>
  <c r="H17" i="1"/>
  <c r="G17" i="1"/>
  <c r="F17" i="1"/>
  <c r="F27" i="1" s="1"/>
  <c r="D17" i="1"/>
  <c r="D27" i="1" s="1"/>
  <c r="C17" i="1"/>
  <c r="B17" i="1"/>
  <c r="Q19" i="1"/>
  <c r="M19" i="1"/>
  <c r="I19" i="1"/>
  <c r="E19" i="1"/>
  <c r="P21" i="1"/>
  <c r="O21" i="1"/>
  <c r="N21" i="1"/>
  <c r="L21" i="1"/>
  <c r="K21" i="1"/>
  <c r="J21" i="1"/>
  <c r="H21" i="1"/>
  <c r="G21" i="1"/>
  <c r="F21" i="1"/>
  <c r="D21" i="1"/>
  <c r="C21" i="1"/>
  <c r="B21" i="1"/>
  <c r="Q18" i="1"/>
  <c r="Q16" i="1"/>
  <c r="Q15" i="1"/>
  <c r="Q14" i="1"/>
  <c r="Q13" i="1"/>
  <c r="Q12" i="1"/>
  <c r="Q11" i="1"/>
  <c r="M18" i="1"/>
  <c r="M16" i="1"/>
  <c r="M15" i="1"/>
  <c r="M14" i="1"/>
  <c r="M13" i="1"/>
  <c r="M12" i="1"/>
  <c r="M11" i="1"/>
  <c r="I20" i="1"/>
  <c r="I18" i="1"/>
  <c r="I16" i="1"/>
  <c r="I15" i="1"/>
  <c r="I14" i="1"/>
  <c r="I13" i="1"/>
  <c r="I12" i="1"/>
  <c r="I11" i="1"/>
  <c r="E18" i="1"/>
  <c r="E16" i="1"/>
  <c r="E15" i="1"/>
  <c r="E14" i="1"/>
  <c r="E13" i="1"/>
  <c r="E12" i="1"/>
  <c r="E11" i="1"/>
  <c r="R11" i="1" s="1"/>
  <c r="R56" i="1"/>
  <c r="R42" i="1"/>
  <c r="R9" i="1"/>
  <c r="Q23" i="1"/>
  <c r="M23" i="1"/>
  <c r="I23" i="1"/>
  <c r="E23" i="1"/>
  <c r="R23" i="1" s="1"/>
  <c r="B10" i="1"/>
  <c r="E55" i="1" l="1"/>
  <c r="M17" i="1"/>
  <c r="M27" i="1" s="1"/>
  <c r="Q20" i="1"/>
  <c r="R52" i="1"/>
  <c r="I51" i="1"/>
  <c r="R51" i="1" s="1"/>
  <c r="I24" i="1"/>
  <c r="R24" i="1" s="1"/>
  <c r="E44" i="1"/>
  <c r="Q59" i="1"/>
  <c r="D59" i="1"/>
  <c r="D62" i="1" s="1"/>
  <c r="E47" i="1"/>
  <c r="R47" i="1" s="1"/>
  <c r="E54" i="1"/>
  <c r="R54" i="1" s="1"/>
  <c r="R57" i="1"/>
  <c r="I44" i="1"/>
  <c r="R44" i="1" s="1"/>
  <c r="R55" i="1"/>
  <c r="R19" i="1"/>
  <c r="R13" i="1"/>
  <c r="R15" i="1"/>
  <c r="R46" i="1"/>
  <c r="R48" i="1"/>
  <c r="R50" i="1"/>
  <c r="R12" i="1"/>
  <c r="R14" i="1"/>
  <c r="R16" i="1"/>
  <c r="R18" i="1"/>
  <c r="Q17" i="1"/>
  <c r="Q27" i="1" s="1"/>
  <c r="I17" i="1"/>
  <c r="I27" i="1" s="1"/>
  <c r="E17" i="1"/>
  <c r="Q21" i="1"/>
  <c r="M21" i="1"/>
  <c r="I21" i="1"/>
  <c r="R21" i="1" s="1"/>
  <c r="G62" i="1"/>
  <c r="N62" i="1"/>
  <c r="L62" i="1"/>
  <c r="J62" i="1"/>
  <c r="F62" i="1"/>
  <c r="Q41" i="1"/>
  <c r="M41" i="1"/>
  <c r="I41" i="1"/>
  <c r="E41" i="1"/>
  <c r="Q40" i="1"/>
  <c r="M40" i="1"/>
  <c r="I40" i="1"/>
  <c r="E40" i="1"/>
  <c r="Q39" i="1"/>
  <c r="M39" i="1"/>
  <c r="I39" i="1"/>
  <c r="E39" i="1"/>
  <c r="Q38" i="1"/>
  <c r="M38" i="1"/>
  <c r="I38" i="1"/>
  <c r="E38" i="1"/>
  <c r="Q37" i="1"/>
  <c r="M37" i="1"/>
  <c r="I37" i="1"/>
  <c r="E37" i="1"/>
  <c r="Q36" i="1"/>
  <c r="M36" i="1"/>
  <c r="I36" i="1"/>
  <c r="I43" i="1" s="1"/>
  <c r="E36" i="1"/>
  <c r="B30" i="1"/>
  <c r="Q8" i="1"/>
  <c r="Q7" i="1"/>
  <c r="Q6" i="1"/>
  <c r="Q5" i="1"/>
  <c r="Q4" i="1"/>
  <c r="Q3" i="1"/>
  <c r="P30" i="1"/>
  <c r="M8" i="1"/>
  <c r="M7" i="1"/>
  <c r="M6" i="1"/>
  <c r="M5" i="1"/>
  <c r="M4" i="1"/>
  <c r="M3" i="1"/>
  <c r="I8" i="1"/>
  <c r="I7" i="1"/>
  <c r="I6" i="1"/>
  <c r="I5" i="1"/>
  <c r="I4" i="1"/>
  <c r="I3" i="1"/>
  <c r="E8" i="1"/>
  <c r="R8" i="1" s="1"/>
  <c r="E7" i="1"/>
  <c r="E6" i="1"/>
  <c r="E5" i="1"/>
  <c r="E4" i="1"/>
  <c r="E3" i="1"/>
  <c r="I10" i="1" l="1"/>
  <c r="E10" i="1"/>
  <c r="Q43" i="1"/>
  <c r="E43" i="1"/>
  <c r="R4" i="1"/>
  <c r="R6" i="1"/>
  <c r="Q10" i="1"/>
  <c r="Q30" i="1" s="1"/>
  <c r="Q66" i="1" s="1"/>
  <c r="M10" i="1"/>
  <c r="M30" i="1" s="1"/>
  <c r="M43" i="1"/>
  <c r="M62" i="1" s="1"/>
  <c r="R17" i="1"/>
  <c r="E59" i="1"/>
  <c r="R59" i="1"/>
  <c r="I59" i="1"/>
  <c r="I62" i="1" s="1"/>
  <c r="R3" i="1"/>
  <c r="R5" i="1"/>
  <c r="R7" i="1"/>
  <c r="R36" i="1"/>
  <c r="R37" i="1"/>
  <c r="R38" i="1"/>
  <c r="R39" i="1"/>
  <c r="R40" i="1"/>
  <c r="R41" i="1"/>
  <c r="O62" i="1"/>
  <c r="Q62" i="1"/>
  <c r="N30" i="1"/>
  <c r="J30" i="1"/>
  <c r="J66" i="1" s="1"/>
  <c r="G30" i="1"/>
  <c r="G66" i="1" s="1"/>
  <c r="C30" i="1"/>
  <c r="B62" i="1"/>
  <c r="B66" i="1" s="1"/>
  <c r="F30" i="1"/>
  <c r="F66" i="1" s="1"/>
  <c r="D30" i="1"/>
  <c r="D66" i="1" s="1"/>
  <c r="E62" i="1"/>
  <c r="H62" i="1"/>
  <c r="P62" i="1"/>
  <c r="P66" i="1" s="1"/>
  <c r="N66" i="1"/>
  <c r="K62" i="1"/>
  <c r="H30" i="1"/>
  <c r="K30" i="1"/>
  <c r="L30" i="1"/>
  <c r="L66" i="1" s="1"/>
  <c r="O30" i="1"/>
  <c r="C62" i="1"/>
  <c r="I30" i="1"/>
  <c r="R10" i="1" l="1"/>
  <c r="O66" i="1"/>
  <c r="K66" i="1"/>
  <c r="R43" i="1"/>
  <c r="R62" i="1" s="1"/>
  <c r="H66" i="1"/>
  <c r="I66" i="1"/>
  <c r="C66" i="1"/>
  <c r="M66" i="1"/>
  <c r="E27" i="1"/>
  <c r="E30" i="1" s="1"/>
  <c r="E66" i="1" s="1"/>
  <c r="R20" i="1"/>
  <c r="R27" i="1" s="1"/>
  <c r="R30" i="1" s="1"/>
  <c r="R66" i="1" l="1"/>
</calcChain>
</file>

<file path=xl/sharedStrings.xml><?xml version="1.0" encoding="utf-8"?>
<sst xmlns="http://schemas.openxmlformats.org/spreadsheetml/2006/main" count="87" uniqueCount="46">
  <si>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</si>
  <si>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</si>
  <si>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</si>
  <si>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</si>
  <si>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</si>
  <si>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</si>
  <si>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</si>
  <si>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</si>
  <si>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</si>
  <si>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</si>
  <si>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</si>
  <si>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</si>
  <si>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Balance neto (Ingreso - Gasto)</t>
  </si>
  <si>
    <t>2º TRIMESTRE</t>
  </si>
  <si>
    <t>3º TRIMESTRE</t>
  </si>
  <si>
    <t>4º TRIMESTRE</t>
  </si>
  <si>
    <t>1º TRIMESTRE</t>
  </si>
  <si>
    <t>TOTAL BRUTO INGRESOS</t>
  </si>
  <si>
    <t>TOTAL BRUTO GASTOS</t>
  </si>
  <si>
    <t>TOTAL ANUAL</t>
  </si>
  <si>
    <t>DIFERENCIA ENTRE AÑOS 2020-2019</t>
  </si>
  <si>
    <t>GIMNASIO</t>
  </si>
  <si>
    <t>ACTIVIDADES COLECTIVAS</t>
  </si>
  <si>
    <t>PADEL</t>
  </si>
  <si>
    <t>ALQUILER INSTALACIONES</t>
  </si>
  <si>
    <t>EVENTOS</t>
  </si>
  <si>
    <t>CUOTAS DEPORTE INFANTIL</t>
  </si>
  <si>
    <t>Subvenciones</t>
  </si>
  <si>
    <t>Máquinas Renting Gimnasio</t>
  </si>
  <si>
    <t>Gastos material Deporte Infantil</t>
  </si>
  <si>
    <t>Monitores Actividades Colectivas</t>
  </si>
  <si>
    <t>Monitores Deporte Infantil</t>
  </si>
  <si>
    <t>Gastos Eventos</t>
  </si>
  <si>
    <t>Compras de material</t>
  </si>
  <si>
    <t>Nóminas Personal Ayuntamiento</t>
  </si>
  <si>
    <t>Seguros Sociales</t>
  </si>
  <si>
    <t>ALARMA</t>
  </si>
  <si>
    <t>LUZ</t>
  </si>
  <si>
    <t>AGUA</t>
  </si>
  <si>
    <t>HORAS</t>
  </si>
  <si>
    <t>CALEFACCION</t>
  </si>
  <si>
    <t>Seguros sociales</t>
  </si>
  <si>
    <t>HABERES LIMPIADORA</t>
  </si>
  <si>
    <t>S.SOCIALES LIMPIADORA</t>
  </si>
  <si>
    <t>Fitness</t>
  </si>
  <si>
    <t>POLIDEPORTIVO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</si>
</sst>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4" borderId="1" xfId="0" applyFont="1" applyFill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5" borderId="1" xfId="0" applyFont="1" applyFill="1" applyBorder="1"/>
    <xf numFmtId="0" fontId="1" fillId="4" borderId="3" xfId="0" applyFont="1" applyFill="1" applyBorder="1"/>
    <xf numFmtId="0" fontId="1" fillId="0" borderId="1" xfId="0" applyFont="1" applyFill="1" applyBorder="1"/>
    <xf numFmtId="0" fontId="0" fillId="6" borderId="1" xfId="0" applyFill="1" applyBorder="1"/>
    <xf numFmtId="0" fontId="1" fillId="7" borderId="1" xfId="0" applyFont="1" applyFill="1" applyBorder="1"/>
    <xf numFmtId="0" fontId="0" fillId="8" borderId="1" xfId="0" applyFill="1" applyBorder="1"/>
    <xf numFmtId="0" fontId="0" fillId="0" borderId="4" xfId="0" applyFill="1" applyBorder="1"/>
    <xf numFmtId="0" fontId="0" fillId="0" borderId="1" xfId="0" applyFill="1" applyBorder="1"/>
    <xf numFmtId="0" fontId="0" fillId="0" borderId="0" xfId="0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4" fontId="0" fillId="0" borderId="1" xfId="0" applyNumberFormat="1" applyBorder="1"/>
    <xf numFmtId="4" fontId="0" fillId="4" borderId="1" xfId="0" applyNumberFormat="1" applyFill="1" applyBorder="1"/>
    <xf numFmtId="4" fontId="0" fillId="4" borderId="3" xfId="0" applyNumberFormat="1" applyFill="1" applyBorder="1"/>
    <xf numFmtId="4" fontId="0" fillId="2" borderId="1" xfId="0" applyNumberFormat="1" applyFill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right"/>
    </xf>
    <xf numFmtId="4" fontId="0" fillId="0" borderId="0" xfId="0" applyNumberFormat="1"/>
    <xf numFmtId="4" fontId="0" fillId="3" borderId="1" xfId="0" applyNumberFormat="1" applyFill="1" applyBorder="1"/>
    <xf numFmtId="4" fontId="0" fillId="5" borderId="1" xfId="0" applyNumberFormat="1" applyFill="1" applyBorder="1"/>
    <xf numFmtId="4" fontId="0" fillId="5" borderId="3" xfId="0" applyNumberFormat="1" applyFill="1" applyBorder="1"/>
    <xf numFmtId="4" fontId="0" fillId="7" borderId="1" xfId="0" applyNumberFormat="1" applyFill="1" applyBorder="1"/>
    <xf numFmtId="4" fontId="0" fillId="7" borderId="3" xfId="0" applyNumberFormat="1" applyFill="1" applyBorder="1"/>
    <xf numFmtId="4" fontId="0" fillId="8" borderId="1" xfId="0" applyNumberFormat="1" applyFill="1" applyBorder="1"/>
    <xf numFmtId="0" fontId="0" fillId="6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6"/>
  <sheetViews>
    <sheetView tabSelected="1" zoomScaleNormal="100" workbookViewId="0">
      <selection sqref="A1:Q1"/>
    </sheetView>
  </sheetViews>
  <sheetFormatPr baseColWidth="10" defaultRowHeight="15" x14ac:dyDescent="0.25"/>
  <cols>
    <col min="1" max="1" width="32.7109375" bestFit="1" customWidth="1"/>
    <col min="2" max="2" width="9.140625" bestFit="1" customWidth="1"/>
    <col min="3" max="4" width="11.5703125" bestFit="1" customWidth="1"/>
    <col min="5" max="5" width="14.28515625" bestFit="1" customWidth="1"/>
    <col min="6" max="8" width="11.5703125" bestFit="1" customWidth="1"/>
    <col min="9" max="9" width="13.28515625" bestFit="1" customWidth="1"/>
    <col min="10" max="12" width="11.5703125" bestFit="1" customWidth="1"/>
    <col min="13" max="13" width="13.28515625" bestFit="1" customWidth="1"/>
    <col min="14" max="16" width="11.5703125" bestFit="1" customWidth="1"/>
    <col min="17" max="17" width="13.28515625" bestFit="1" customWidth="1"/>
    <col min="18" max="18" width="13.42578125" bestFit="1" customWidth="1"/>
  </cols>
  <sheetData>
    <row r="1" spans="1:18" x14ac:dyDescent="0.25">
      <c r="A1" s="30" t="s">
        <v>45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9"/>
    </row>
    <row r="2" spans="1:18" x14ac:dyDescent="0.25">
      <c r="A2" s="1"/>
      <c r="B2" s="2" t="s">
        <v>0</v>
      </c>
      <c r="C2" s="2" t="s">
        <v>1</v>
      </c>
      <c r="D2" s="2" t="s">
        <v>2</v>
      </c>
      <c r="E2" s="3" t="s">
        <v>16</v>
      </c>
      <c r="F2" s="2" t="s">
        <v>3</v>
      </c>
      <c r="G2" s="2" t="s">
        <v>4</v>
      </c>
      <c r="H2" s="2" t="s">
        <v>5</v>
      </c>
      <c r="I2" s="3" t="s">
        <v>13</v>
      </c>
      <c r="J2" s="2" t="s">
        <v>6</v>
      </c>
      <c r="K2" s="2" t="s">
        <v>7</v>
      </c>
      <c r="L2" s="2" t="s">
        <v>8</v>
      </c>
      <c r="M2" s="3" t="s">
        <v>14</v>
      </c>
      <c r="N2" s="2" t="s">
        <v>9</v>
      </c>
      <c r="O2" s="2" t="s">
        <v>10</v>
      </c>
      <c r="P2" s="2" t="s">
        <v>11</v>
      </c>
      <c r="Q2" s="7" t="s">
        <v>15</v>
      </c>
      <c r="R2" s="8" t="s">
        <v>19</v>
      </c>
    </row>
    <row r="3" spans="1:18" x14ac:dyDescent="0.25">
      <c r="A3" s="1" t="s">
        <v>21</v>
      </c>
      <c r="B3" s="17">
        <v>2158</v>
      </c>
      <c r="C3" s="17">
        <v>1358</v>
      </c>
      <c r="D3" s="17">
        <v>1879</v>
      </c>
      <c r="E3" s="18">
        <f t="shared" ref="E3:E8" si="0">SUM(B3:D3)</f>
        <v>5395</v>
      </c>
      <c r="F3" s="17">
        <v>1776</v>
      </c>
      <c r="G3" s="17">
        <v>2104</v>
      </c>
      <c r="H3" s="17">
        <v>2276</v>
      </c>
      <c r="I3" s="18">
        <f t="shared" ref="I3:I8" si="1">SUM(F3:H3)</f>
        <v>6156</v>
      </c>
      <c r="J3" s="17">
        <v>2030</v>
      </c>
      <c r="K3" s="17">
        <v>1404</v>
      </c>
      <c r="L3" s="17">
        <v>2791</v>
      </c>
      <c r="M3" s="18">
        <f t="shared" ref="M3:M8" si="2">SUM(J3:L3)</f>
        <v>6225</v>
      </c>
      <c r="N3" s="17">
        <v>2592</v>
      </c>
      <c r="O3" s="17">
        <v>1834</v>
      </c>
      <c r="P3" s="17">
        <v>1714</v>
      </c>
      <c r="Q3" s="19">
        <f t="shared" ref="Q3:Q8" si="3">SUM(N3:P3)</f>
        <v>6140</v>
      </c>
      <c r="R3" s="17">
        <f>+E3+I3+M3+Q3</f>
        <v>23916</v>
      </c>
    </row>
    <row r="4" spans="1:18" x14ac:dyDescent="0.25">
      <c r="A4" s="1" t="s">
        <v>22</v>
      </c>
      <c r="B4" s="17">
        <v>2200</v>
      </c>
      <c r="C4" s="17">
        <v>2436</v>
      </c>
      <c r="D4" s="17">
        <v>2391.35</v>
      </c>
      <c r="E4" s="18">
        <f t="shared" si="0"/>
        <v>7027.35</v>
      </c>
      <c r="F4" s="17">
        <v>2489.75</v>
      </c>
      <c r="G4" s="17">
        <v>2522.75</v>
      </c>
      <c r="H4" s="17">
        <v>1510.75</v>
      </c>
      <c r="I4" s="18">
        <f t="shared" si="1"/>
        <v>6523.25</v>
      </c>
      <c r="J4" s="17">
        <v>100</v>
      </c>
      <c r="K4" s="17"/>
      <c r="L4" s="17">
        <v>592</v>
      </c>
      <c r="M4" s="18">
        <f t="shared" si="2"/>
        <v>692</v>
      </c>
      <c r="N4" s="17">
        <v>2327.5</v>
      </c>
      <c r="O4" s="17">
        <v>2612.5</v>
      </c>
      <c r="P4" s="17">
        <v>2450</v>
      </c>
      <c r="Q4" s="19">
        <f t="shared" si="3"/>
        <v>7390</v>
      </c>
      <c r="R4" s="17">
        <f t="shared" ref="R4:R9" si="4">+E4+I4+M4+Q4</f>
        <v>21632.6</v>
      </c>
    </row>
    <row r="5" spans="1:18" x14ac:dyDescent="0.25">
      <c r="A5" s="1" t="s">
        <v>23</v>
      </c>
      <c r="B5" s="17">
        <v>8.5</v>
      </c>
      <c r="C5" s="17">
        <v>8.5</v>
      </c>
      <c r="D5" s="17">
        <v>24</v>
      </c>
      <c r="E5" s="18">
        <f t="shared" si="0"/>
        <v>41</v>
      </c>
      <c r="F5" s="17">
        <v>7.5</v>
      </c>
      <c r="G5" s="17">
        <v>110</v>
      </c>
      <c r="H5" s="17">
        <v>14</v>
      </c>
      <c r="I5" s="18">
        <f t="shared" si="1"/>
        <v>131.5</v>
      </c>
      <c r="J5" s="17">
        <v>50.5</v>
      </c>
      <c r="K5" s="17">
        <v>59</v>
      </c>
      <c r="L5" s="17">
        <v>36.5</v>
      </c>
      <c r="M5" s="18">
        <f t="shared" si="2"/>
        <v>146</v>
      </c>
      <c r="N5" s="17">
        <v>62</v>
      </c>
      <c r="O5" s="17">
        <v>8.5</v>
      </c>
      <c r="P5" s="17">
        <v>7</v>
      </c>
      <c r="Q5" s="19">
        <f t="shared" si="3"/>
        <v>77.5</v>
      </c>
      <c r="R5" s="17">
        <f t="shared" si="4"/>
        <v>396</v>
      </c>
    </row>
    <row r="6" spans="1:18" x14ac:dyDescent="0.25">
      <c r="A6" s="1" t="s">
        <v>24</v>
      </c>
      <c r="B6" s="17">
        <v>265</v>
      </c>
      <c r="C6" s="17">
        <v>160</v>
      </c>
      <c r="D6" s="17"/>
      <c r="E6" s="18">
        <f t="shared" si="0"/>
        <v>425</v>
      </c>
      <c r="F6" s="17">
        <v>160</v>
      </c>
      <c r="G6" s="17">
        <v>120</v>
      </c>
      <c r="H6" s="17"/>
      <c r="I6" s="18">
        <f t="shared" si="1"/>
        <v>280</v>
      </c>
      <c r="J6" s="17">
        <v>260</v>
      </c>
      <c r="K6" s="17">
        <v>100</v>
      </c>
      <c r="L6" s="17"/>
      <c r="M6" s="18">
        <f t="shared" si="2"/>
        <v>360</v>
      </c>
      <c r="N6" s="17">
        <v>240</v>
      </c>
      <c r="O6" s="17">
        <v>75</v>
      </c>
      <c r="P6" s="17">
        <v>125</v>
      </c>
      <c r="Q6" s="19">
        <f t="shared" si="3"/>
        <v>440</v>
      </c>
      <c r="R6" s="17">
        <f t="shared" si="4"/>
        <v>1505</v>
      </c>
    </row>
    <row r="7" spans="1:18" x14ac:dyDescent="0.25">
      <c r="A7" s="1" t="s">
        <v>25</v>
      </c>
      <c r="B7" s="17"/>
      <c r="C7" s="17"/>
      <c r="D7" s="17">
        <v>110</v>
      </c>
      <c r="E7" s="18">
        <f t="shared" si="0"/>
        <v>110</v>
      </c>
      <c r="F7" s="17">
        <v>540</v>
      </c>
      <c r="G7" s="17"/>
      <c r="H7" s="17">
        <v>190</v>
      </c>
      <c r="I7" s="18">
        <f t="shared" si="1"/>
        <v>730</v>
      </c>
      <c r="J7" s="17">
        <v>17694</v>
      </c>
      <c r="K7" s="17"/>
      <c r="L7" s="17"/>
      <c r="M7" s="18">
        <f t="shared" si="2"/>
        <v>17694</v>
      </c>
      <c r="N7" s="17">
        <v>450</v>
      </c>
      <c r="O7" s="17">
        <v>378</v>
      </c>
      <c r="P7" s="17">
        <v>480.8</v>
      </c>
      <c r="Q7" s="19">
        <f t="shared" si="3"/>
        <v>1308.8</v>
      </c>
      <c r="R7" s="17">
        <f t="shared" si="4"/>
        <v>19842.8</v>
      </c>
    </row>
    <row r="8" spans="1:18" x14ac:dyDescent="0.25">
      <c r="A8" s="1" t="s">
        <v>26</v>
      </c>
      <c r="B8" s="17"/>
      <c r="C8" s="17"/>
      <c r="D8" s="17"/>
      <c r="E8" s="18">
        <f t="shared" si="0"/>
        <v>0</v>
      </c>
      <c r="F8" s="17"/>
      <c r="G8" s="17"/>
      <c r="H8" s="17"/>
      <c r="I8" s="18">
        <f t="shared" si="1"/>
        <v>0</v>
      </c>
      <c r="J8" s="17"/>
      <c r="K8" s="17"/>
      <c r="L8" s="17">
        <v>2735</v>
      </c>
      <c r="M8" s="18">
        <f t="shared" si="2"/>
        <v>2735</v>
      </c>
      <c r="N8" s="17">
        <v>998</v>
      </c>
      <c r="O8" s="17">
        <v>45</v>
      </c>
      <c r="P8" s="17"/>
      <c r="Q8" s="19">
        <f t="shared" si="3"/>
        <v>1043</v>
      </c>
      <c r="R8" s="17">
        <f t="shared" si="4"/>
        <v>3778</v>
      </c>
    </row>
    <row r="9" spans="1:18" x14ac:dyDescent="0.25">
      <c r="A9" s="1" t="s">
        <v>27</v>
      </c>
      <c r="B9" s="17"/>
      <c r="C9" s="17"/>
      <c r="D9" s="17"/>
      <c r="E9" s="18"/>
      <c r="F9" s="17"/>
      <c r="G9" s="17"/>
      <c r="H9" s="17"/>
      <c r="I9" s="18"/>
      <c r="J9" s="17"/>
      <c r="K9" s="17"/>
      <c r="L9" s="17"/>
      <c r="M9" s="18"/>
      <c r="N9" s="17"/>
      <c r="O9" s="17"/>
      <c r="P9" s="17"/>
      <c r="Q9" s="19"/>
      <c r="R9" s="17">
        <f t="shared" si="4"/>
        <v>0</v>
      </c>
    </row>
    <row r="10" spans="1:18" x14ac:dyDescent="0.25">
      <c r="A10" s="4" t="s">
        <v>17</v>
      </c>
      <c r="B10" s="20">
        <f>SUM(B3:B9)</f>
        <v>4631.5</v>
      </c>
      <c r="C10" s="20">
        <f>SUM(C3:C9)</f>
        <v>3962.5</v>
      </c>
      <c r="D10" s="20">
        <f t="shared" ref="D10:R10" si="5">SUM(D3:D9)</f>
        <v>4404.3500000000004</v>
      </c>
      <c r="E10" s="20">
        <f t="shared" si="5"/>
        <v>12998.35</v>
      </c>
      <c r="F10" s="20">
        <f t="shared" si="5"/>
        <v>4973.25</v>
      </c>
      <c r="G10" s="20">
        <f t="shared" si="5"/>
        <v>4856.75</v>
      </c>
      <c r="H10" s="20">
        <f t="shared" si="5"/>
        <v>3990.75</v>
      </c>
      <c r="I10" s="20">
        <f t="shared" si="5"/>
        <v>13820.75</v>
      </c>
      <c r="J10" s="20">
        <f t="shared" si="5"/>
        <v>20134.5</v>
      </c>
      <c r="K10" s="20">
        <f t="shared" si="5"/>
        <v>1563</v>
      </c>
      <c r="L10" s="20">
        <f t="shared" si="5"/>
        <v>6154.5</v>
      </c>
      <c r="M10" s="20">
        <f t="shared" si="5"/>
        <v>27852</v>
      </c>
      <c r="N10" s="20">
        <f t="shared" si="5"/>
        <v>6669.5</v>
      </c>
      <c r="O10" s="20">
        <f t="shared" si="5"/>
        <v>4953</v>
      </c>
      <c r="P10" s="20">
        <f t="shared" si="5"/>
        <v>4776.8</v>
      </c>
      <c r="Q10" s="20">
        <f t="shared" si="5"/>
        <v>16399.3</v>
      </c>
      <c r="R10" s="20">
        <f t="shared" si="5"/>
        <v>71070.399999999994</v>
      </c>
    </row>
    <row r="11" spans="1:18" x14ac:dyDescent="0.25">
      <c r="A11" s="1" t="s">
        <v>28</v>
      </c>
      <c r="B11" s="17">
        <v>548.13</v>
      </c>
      <c r="C11" s="17">
        <v>548.13</v>
      </c>
      <c r="D11" s="17">
        <v>360</v>
      </c>
      <c r="E11" s="18">
        <f>SUM(B11:D11)</f>
        <v>1456.26</v>
      </c>
      <c r="F11" s="17"/>
      <c r="G11" s="21">
        <v>415.03</v>
      </c>
      <c r="H11" s="17">
        <v>1818.71</v>
      </c>
      <c r="I11" s="18">
        <f>SUM(F11:H11)</f>
        <v>2233.7399999999998</v>
      </c>
      <c r="J11" s="17">
        <v>1459.74</v>
      </c>
      <c r="K11" s="17">
        <v>1459.74</v>
      </c>
      <c r="L11" s="17">
        <v>2649.8</v>
      </c>
      <c r="M11" s="18">
        <f>SUM(J11:L11)</f>
        <v>5569.2800000000007</v>
      </c>
      <c r="N11" s="17">
        <v>1459.74</v>
      </c>
      <c r="O11" s="17">
        <v>1874.77</v>
      </c>
      <c r="P11" s="17">
        <v>1874.77</v>
      </c>
      <c r="Q11" s="19">
        <f>SUM(N11:P11)</f>
        <v>5209.2800000000007</v>
      </c>
      <c r="R11" s="17">
        <f t="shared" ref="R11:R21" si="6">+E11+I11+M11+Q11</f>
        <v>14468.560000000001</v>
      </c>
    </row>
    <row r="12" spans="1:18" x14ac:dyDescent="0.25">
      <c r="A12" s="1" t="s">
        <v>29</v>
      </c>
      <c r="B12" s="17"/>
      <c r="C12" s="17"/>
      <c r="D12" s="22">
        <v>38.9</v>
      </c>
      <c r="E12" s="18">
        <f t="shared" ref="E12:E18" si="7">SUM(B12:D12)</f>
        <v>38.9</v>
      </c>
      <c r="F12" s="17"/>
      <c r="G12" s="17"/>
      <c r="H12" s="17"/>
      <c r="I12" s="18">
        <f t="shared" ref="I12:I22" si="8">SUM(F12:H12)</f>
        <v>0</v>
      </c>
      <c r="J12" s="17"/>
      <c r="K12" s="17">
        <v>315</v>
      </c>
      <c r="L12" s="17">
        <v>160.9</v>
      </c>
      <c r="M12" s="18">
        <f t="shared" ref="M12:M22" si="9">SUM(J12:L12)</f>
        <v>475.9</v>
      </c>
      <c r="N12" s="22">
        <v>149.85</v>
      </c>
      <c r="O12" s="22">
        <v>674.9</v>
      </c>
      <c r="P12" s="17"/>
      <c r="Q12" s="19">
        <f t="shared" ref="Q12:Q22" si="10">SUM(N12:P12)</f>
        <v>824.75</v>
      </c>
      <c r="R12" s="17">
        <f t="shared" si="6"/>
        <v>1339.55</v>
      </c>
    </row>
    <row r="13" spans="1:18" x14ac:dyDescent="0.25">
      <c r="A13" s="1" t="s">
        <v>30</v>
      </c>
      <c r="B13" s="17">
        <v>1721</v>
      </c>
      <c r="C13" s="17">
        <v>1447</v>
      </c>
      <c r="D13" s="17">
        <v>1624</v>
      </c>
      <c r="E13" s="18">
        <f t="shared" si="7"/>
        <v>4792</v>
      </c>
      <c r="F13" s="17">
        <v>1584</v>
      </c>
      <c r="G13" s="17">
        <v>1370</v>
      </c>
      <c r="H13" s="17">
        <v>794</v>
      </c>
      <c r="I13" s="18">
        <f t="shared" si="8"/>
        <v>3748</v>
      </c>
      <c r="J13" s="17">
        <v>385</v>
      </c>
      <c r="K13" s="17"/>
      <c r="L13" s="17">
        <v>733.3</v>
      </c>
      <c r="M13" s="18">
        <f t="shared" si="9"/>
        <v>1118.3</v>
      </c>
      <c r="N13" s="17">
        <v>1727</v>
      </c>
      <c r="O13" s="17">
        <v>1782</v>
      </c>
      <c r="P13" s="17">
        <v>1661.33</v>
      </c>
      <c r="Q13" s="19">
        <f t="shared" si="10"/>
        <v>5170.33</v>
      </c>
      <c r="R13" s="17">
        <f t="shared" si="6"/>
        <v>14828.63</v>
      </c>
    </row>
    <row r="14" spans="1:18" x14ac:dyDescent="0.25">
      <c r="A14" s="1" t="s">
        <v>31</v>
      </c>
      <c r="B14" s="17">
        <v>615</v>
      </c>
      <c r="C14" s="17">
        <v>1790</v>
      </c>
      <c r="D14" s="17">
        <v>1678</v>
      </c>
      <c r="E14" s="18">
        <f t="shared" si="7"/>
        <v>4083</v>
      </c>
      <c r="F14" s="17">
        <v>1764</v>
      </c>
      <c r="G14" s="17">
        <v>1728</v>
      </c>
      <c r="H14" s="17">
        <v>363</v>
      </c>
      <c r="I14" s="18">
        <f t="shared" si="8"/>
        <v>3855</v>
      </c>
      <c r="J14" s="17">
        <v>363</v>
      </c>
      <c r="K14" s="17">
        <v>363</v>
      </c>
      <c r="L14" s="17">
        <v>363</v>
      </c>
      <c r="M14" s="18">
        <f t="shared" si="9"/>
        <v>1089</v>
      </c>
      <c r="N14" s="17">
        <v>1208</v>
      </c>
      <c r="O14" s="17">
        <v>1208</v>
      </c>
      <c r="P14" s="17">
        <v>363</v>
      </c>
      <c r="Q14" s="19">
        <f t="shared" si="10"/>
        <v>2779</v>
      </c>
      <c r="R14" s="17">
        <f t="shared" si="6"/>
        <v>11806</v>
      </c>
    </row>
    <row r="15" spans="1:18" x14ac:dyDescent="0.25">
      <c r="A15" s="1" t="s">
        <v>32</v>
      </c>
      <c r="B15" s="17"/>
      <c r="C15" s="17"/>
      <c r="D15" s="17"/>
      <c r="E15" s="18">
        <f t="shared" si="7"/>
        <v>0</v>
      </c>
      <c r="F15" s="17">
        <v>59</v>
      </c>
      <c r="G15" s="17"/>
      <c r="H15" s="17">
        <v>535.52</v>
      </c>
      <c r="I15" s="18">
        <f t="shared" si="8"/>
        <v>594.52</v>
      </c>
      <c r="J15" s="17"/>
      <c r="K15" s="17">
        <v>70</v>
      </c>
      <c r="L15" s="17"/>
      <c r="M15" s="18">
        <f t="shared" si="9"/>
        <v>70</v>
      </c>
      <c r="N15" s="22">
        <v>150</v>
      </c>
      <c r="O15" s="22">
        <v>143.08000000000001</v>
      </c>
      <c r="P15" s="17"/>
      <c r="Q15" s="19">
        <f t="shared" si="10"/>
        <v>293.08000000000004</v>
      </c>
      <c r="R15" s="17">
        <f t="shared" si="6"/>
        <v>957.6</v>
      </c>
    </row>
    <row r="16" spans="1:18" x14ac:dyDescent="0.25">
      <c r="A16" s="1" t="s">
        <v>33</v>
      </c>
      <c r="B16" s="21">
        <v>403.5</v>
      </c>
      <c r="C16" s="17"/>
      <c r="D16" s="17"/>
      <c r="E16" s="18">
        <f t="shared" si="7"/>
        <v>403.5</v>
      </c>
      <c r="F16" s="21">
        <v>295.83999999999997</v>
      </c>
      <c r="G16" s="17"/>
      <c r="H16" s="17">
        <v>54.99</v>
      </c>
      <c r="I16" s="18">
        <f t="shared" si="8"/>
        <v>350.83</v>
      </c>
      <c r="J16" s="17">
        <v>3060.21</v>
      </c>
      <c r="K16" s="17"/>
      <c r="L16" s="17"/>
      <c r="M16" s="18">
        <f t="shared" si="9"/>
        <v>3060.21</v>
      </c>
      <c r="N16" s="17">
        <v>70</v>
      </c>
      <c r="O16" s="22">
        <v>79.97</v>
      </c>
      <c r="P16" s="17"/>
      <c r="Q16" s="19">
        <f t="shared" si="10"/>
        <v>149.97</v>
      </c>
      <c r="R16" s="17">
        <f t="shared" si="6"/>
        <v>3964.5099999999998</v>
      </c>
    </row>
    <row r="17" spans="1:32" x14ac:dyDescent="0.25">
      <c r="A17" s="13" t="s">
        <v>36</v>
      </c>
      <c r="B17" s="21">
        <f>47.19+46.49</f>
        <v>93.68</v>
      </c>
      <c r="C17" s="17">
        <f>47.19+46.49</f>
        <v>93.68</v>
      </c>
      <c r="D17" s="17">
        <f>46.49+47.19</f>
        <v>93.68</v>
      </c>
      <c r="E17" s="18">
        <f t="shared" si="7"/>
        <v>281.04000000000002</v>
      </c>
      <c r="F17" s="21">
        <f>47.19+46.49</f>
        <v>93.68</v>
      </c>
      <c r="G17" s="17">
        <f>47.19+46.49</f>
        <v>93.68</v>
      </c>
      <c r="H17" s="17">
        <f>47.19+46.49</f>
        <v>93.68</v>
      </c>
      <c r="I17" s="18">
        <f t="shared" si="8"/>
        <v>281.04000000000002</v>
      </c>
      <c r="J17" s="17">
        <f>46.49+47.19</f>
        <v>93.68</v>
      </c>
      <c r="K17" s="17">
        <f>47.19+46.49</f>
        <v>93.68</v>
      </c>
      <c r="L17" s="17">
        <f>47.19+46.49</f>
        <v>93.68</v>
      </c>
      <c r="M17" s="18">
        <f>SUM(J17:L17)</f>
        <v>281.04000000000002</v>
      </c>
      <c r="N17" s="17">
        <f>47.19+46.49</f>
        <v>93.68</v>
      </c>
      <c r="O17" s="22">
        <f>47.19+46.49</f>
        <v>93.68</v>
      </c>
      <c r="P17" s="17">
        <f>40.11+39.52</f>
        <v>79.63</v>
      </c>
      <c r="Q17" s="19">
        <f t="shared" si="10"/>
        <v>266.99</v>
      </c>
      <c r="R17" s="17">
        <f t="shared" si="6"/>
        <v>1110.1100000000001</v>
      </c>
    </row>
    <row r="18" spans="1:32" x14ac:dyDescent="0.25">
      <c r="A18" s="13" t="s">
        <v>37</v>
      </c>
      <c r="B18" s="21">
        <v>1103.6500000000001</v>
      </c>
      <c r="C18" s="17">
        <v>1458.96</v>
      </c>
      <c r="D18" s="17">
        <v>1109.92</v>
      </c>
      <c r="E18" s="18">
        <f t="shared" si="7"/>
        <v>3672.53</v>
      </c>
      <c r="F18" s="21">
        <v>1289.97</v>
      </c>
      <c r="G18" s="17">
        <v>1396.9</v>
      </c>
      <c r="H18" s="17">
        <v>989.38</v>
      </c>
      <c r="I18" s="18">
        <f t="shared" si="8"/>
        <v>3676.25</v>
      </c>
      <c r="J18" s="17">
        <v>1055.53</v>
      </c>
      <c r="K18" s="17">
        <v>1181.96</v>
      </c>
      <c r="L18" s="17">
        <v>1129.47</v>
      </c>
      <c r="M18" s="18">
        <f t="shared" si="9"/>
        <v>3366.96</v>
      </c>
      <c r="N18" s="17">
        <v>852.69</v>
      </c>
      <c r="O18" s="22">
        <v>1335.25</v>
      </c>
      <c r="P18" s="17">
        <v>1271.21</v>
      </c>
      <c r="Q18" s="19">
        <f t="shared" si="10"/>
        <v>3459.15</v>
      </c>
      <c r="R18" s="17">
        <f t="shared" si="6"/>
        <v>14174.890000000001</v>
      </c>
    </row>
    <row r="19" spans="1:32" x14ac:dyDescent="0.25">
      <c r="A19" s="13" t="s">
        <v>40</v>
      </c>
      <c r="B19" s="21">
        <v>953.6</v>
      </c>
      <c r="C19" s="17"/>
      <c r="D19" s="17">
        <v>1007.33</v>
      </c>
      <c r="E19" s="18">
        <f>SUM(B19:D19)</f>
        <v>1960.93</v>
      </c>
      <c r="F19" s="21"/>
      <c r="G19" s="17">
        <v>1114.77</v>
      </c>
      <c r="H19" s="17"/>
      <c r="I19" s="18">
        <f>SUM(F19:H19)</f>
        <v>1114.77</v>
      </c>
      <c r="J19" s="17"/>
      <c r="K19" s="17"/>
      <c r="L19" s="17"/>
      <c r="M19" s="18">
        <f>SUM(J19:L19)</f>
        <v>0</v>
      </c>
      <c r="N19" s="17">
        <v>604.4</v>
      </c>
      <c r="O19" s="22"/>
      <c r="P19" s="17">
        <v>658.12</v>
      </c>
      <c r="Q19" s="19">
        <f>SUM(N19:P19)</f>
        <v>1262.52</v>
      </c>
      <c r="R19" s="17">
        <f t="shared" si="6"/>
        <v>4338.2199999999993</v>
      </c>
    </row>
    <row r="20" spans="1:32" x14ac:dyDescent="0.25">
      <c r="A20" s="13" t="s">
        <v>38</v>
      </c>
      <c r="B20" s="23"/>
      <c r="C20" s="21">
        <f>199.25+209.44</f>
        <v>408.69</v>
      </c>
      <c r="D20" s="23"/>
      <c r="E20" s="18">
        <f>+B20+C20+D20</f>
        <v>408.69</v>
      </c>
      <c r="F20" s="17">
        <f>208.26+190.11</f>
        <v>398.37</v>
      </c>
      <c r="G20" s="17"/>
      <c r="H20" s="17">
        <v>259.62</v>
      </c>
      <c r="I20" s="18">
        <f>SUM(F20:H20)</f>
        <v>657.99</v>
      </c>
      <c r="J20" s="17"/>
      <c r="K20" s="17">
        <f>218.12+183.67</f>
        <v>401.78999999999996</v>
      </c>
      <c r="L20" s="17"/>
      <c r="M20" s="18">
        <f t="shared" si="9"/>
        <v>401.78999999999996</v>
      </c>
      <c r="N20" s="17">
        <f>180.25+196.55</f>
        <v>376.8</v>
      </c>
      <c r="O20" s="22"/>
      <c r="P20" s="17">
        <f>184.81+186.89</f>
        <v>371.7</v>
      </c>
      <c r="Q20" s="19">
        <f t="shared" si="10"/>
        <v>748.5</v>
      </c>
      <c r="R20" s="17">
        <f t="shared" si="6"/>
        <v>2216.9700000000003</v>
      </c>
    </row>
    <row r="21" spans="1:32" x14ac:dyDescent="0.25">
      <c r="A21" s="1" t="s">
        <v>34</v>
      </c>
      <c r="B21" s="21">
        <f>1629+1021.09+1314.12+602.28</f>
        <v>4566.49</v>
      </c>
      <c r="C21" s="17">
        <f>1629+1021.09+1314.12+576.14</f>
        <v>4540.3500000000004</v>
      </c>
      <c r="D21" s="17">
        <f>1629+1021.09+1314.12+589.21</f>
        <v>4553.42</v>
      </c>
      <c r="E21" s="18">
        <f>SUM(B21:D21)</f>
        <v>13660.26</v>
      </c>
      <c r="F21" s="21">
        <f>1629+1021.09+1314.12+589.21</f>
        <v>4553.42</v>
      </c>
      <c r="G21" s="17">
        <f>1629+1021.09+1314.12+589.21</f>
        <v>4553.42</v>
      </c>
      <c r="H21" s="17">
        <f>1629+1021.09+1314.12+1184.07+1629+1021.09+1314.12+589.22</f>
        <v>9701.7099999999991</v>
      </c>
      <c r="I21" s="18">
        <f t="shared" si="8"/>
        <v>18808.55</v>
      </c>
      <c r="J21" s="17">
        <f>1629+1237.46+1021.09+1314.12</f>
        <v>5201.67</v>
      </c>
      <c r="K21" s="17">
        <f>1629+2030.96+1021.09+1314.12</f>
        <v>5995.17</v>
      </c>
      <c r="L21" s="17">
        <f>1641.21+433.17+1028.74+1323.99</f>
        <v>4427.1099999999997</v>
      </c>
      <c r="M21" s="18">
        <f t="shared" si="9"/>
        <v>15623.95</v>
      </c>
      <c r="N21" s="17">
        <f>1633.07+660.27+1023.64+1317.41+270</f>
        <v>4904.3900000000003</v>
      </c>
      <c r="O21" s="22">
        <f>1633.07+736.71+870.12+1317.41+300</f>
        <v>4857.3099999999995</v>
      </c>
      <c r="P21" s="17">
        <f>1633.07+707.44+1023.64+1317.41+300+1633.07+322.36+1023.64+1317.41</f>
        <v>9278.0400000000009</v>
      </c>
      <c r="Q21" s="19">
        <f t="shared" si="10"/>
        <v>19039.740000000002</v>
      </c>
      <c r="R21" s="17">
        <f t="shared" si="6"/>
        <v>67132.5</v>
      </c>
    </row>
    <row r="22" spans="1:32" x14ac:dyDescent="0.25">
      <c r="A22" s="1" t="s">
        <v>39</v>
      </c>
      <c r="B22" s="21">
        <v>516.88</v>
      </c>
      <c r="C22" s="17"/>
      <c r="D22" s="17"/>
      <c r="E22" s="19">
        <f t="shared" ref="E22:E26" si="11">SUM(B22:D22)</f>
        <v>516.88</v>
      </c>
      <c r="F22" s="21"/>
      <c r="G22" s="17"/>
      <c r="H22" s="17"/>
      <c r="I22" s="19">
        <f t="shared" si="8"/>
        <v>0</v>
      </c>
      <c r="J22" s="17"/>
      <c r="K22" s="17"/>
      <c r="L22" s="17"/>
      <c r="M22" s="19">
        <f t="shared" si="9"/>
        <v>0</v>
      </c>
      <c r="N22" s="17"/>
      <c r="O22" s="22"/>
      <c r="P22" s="17"/>
      <c r="Q22" s="19">
        <f t="shared" si="10"/>
        <v>0</v>
      </c>
      <c r="R22" s="17">
        <f>+E22+I22+M22+Q22</f>
        <v>516.88</v>
      </c>
    </row>
    <row r="23" spans="1:32" x14ac:dyDescent="0.25">
      <c r="A23" s="1" t="s">
        <v>35</v>
      </c>
      <c r="B23" s="17">
        <v>1896.92</v>
      </c>
      <c r="C23" s="17">
        <v>1722.64</v>
      </c>
      <c r="D23" s="17">
        <v>1722.64</v>
      </c>
      <c r="E23" s="18">
        <f>SUM(B23:D23)</f>
        <v>5342.2000000000007</v>
      </c>
      <c r="F23" s="17">
        <v>1722.64</v>
      </c>
      <c r="G23" s="17">
        <v>1722.64</v>
      </c>
      <c r="H23" s="17">
        <v>1934.22</v>
      </c>
      <c r="I23" s="18">
        <f>SUM(F23:H23)</f>
        <v>5379.5</v>
      </c>
      <c r="J23" s="17">
        <v>2189.84</v>
      </c>
      <c r="K23" s="17">
        <v>2319.7800000000002</v>
      </c>
      <c r="L23" s="17">
        <v>1673.18</v>
      </c>
      <c r="M23" s="18">
        <f>SUM(J23:L23)</f>
        <v>6182.8000000000011</v>
      </c>
      <c r="N23" s="17">
        <v>1801.94</v>
      </c>
      <c r="O23" s="17">
        <v>1910.79</v>
      </c>
      <c r="P23" s="17">
        <v>1820.12</v>
      </c>
      <c r="Q23" s="19">
        <f>SUM(N23:P23)</f>
        <v>5532.85</v>
      </c>
      <c r="R23" s="17">
        <f>+E23+I23+M23+Q23</f>
        <v>22437.35</v>
      </c>
      <c r="T23" s="14"/>
      <c r="U23" s="15"/>
      <c r="V23" s="14"/>
      <c r="W23" s="14"/>
      <c r="X23" s="14"/>
      <c r="Y23" s="14"/>
      <c r="Z23" s="14"/>
      <c r="AA23" s="14"/>
      <c r="AB23" s="14"/>
      <c r="AC23" s="14"/>
      <c r="AD23" s="16"/>
      <c r="AE23" s="14"/>
      <c r="AF23" s="14"/>
    </row>
    <row r="24" spans="1:32" x14ac:dyDescent="0.25">
      <c r="A24" s="1" t="s">
        <v>42</v>
      </c>
      <c r="B24" s="21">
        <v>1143.79</v>
      </c>
      <c r="C24" s="17">
        <v>1143.79</v>
      </c>
      <c r="D24" s="17">
        <v>1143.79</v>
      </c>
      <c r="E24" s="19">
        <f t="shared" si="11"/>
        <v>3431.37</v>
      </c>
      <c r="F24" s="21">
        <v>1143.79</v>
      </c>
      <c r="G24" s="17">
        <v>1143.79</v>
      </c>
      <c r="H24" s="17">
        <f>1143.79+943.79</f>
        <v>2087.58</v>
      </c>
      <c r="I24" s="19">
        <f t="shared" ref="I24:I26" si="12">SUM(F24:H24)</f>
        <v>4375.16</v>
      </c>
      <c r="J24" s="17">
        <v>1143.79</v>
      </c>
      <c r="K24" s="17">
        <v>1143.79</v>
      </c>
      <c r="L24" s="17">
        <v>1383.99</v>
      </c>
      <c r="M24" s="19">
        <f t="shared" ref="M24:M26" si="13">SUM(J24:L24)</f>
        <v>3671.5699999999997</v>
      </c>
      <c r="N24" s="17">
        <v>1146.1500000000001</v>
      </c>
      <c r="O24" s="22">
        <v>1146.1500000000001</v>
      </c>
      <c r="P24" s="17">
        <f>1146.15+946.15</f>
        <v>2092.3000000000002</v>
      </c>
      <c r="Q24" s="19">
        <f t="shared" ref="Q24:Q26" si="14">SUM(N24:P24)</f>
        <v>4384.6000000000004</v>
      </c>
      <c r="R24" s="17">
        <f t="shared" ref="R24:R26" si="15">+E24+I24+M24+Q24</f>
        <v>15862.699999999999</v>
      </c>
    </row>
    <row r="25" spans="1:32" x14ac:dyDescent="0.25">
      <c r="A25" s="1" t="s">
        <v>39</v>
      </c>
      <c r="B25" s="21"/>
      <c r="C25" s="17"/>
      <c r="D25" s="17">
        <f>101.26+102.22</f>
        <v>203.48000000000002</v>
      </c>
      <c r="E25" s="19">
        <f>SUM(B25:D25)</f>
        <v>203.48000000000002</v>
      </c>
      <c r="F25" s="21"/>
      <c r="G25" s="17">
        <v>247.52</v>
      </c>
      <c r="H25" s="17"/>
      <c r="I25" s="19">
        <f>SUM(F25:H25)</f>
        <v>247.52</v>
      </c>
      <c r="J25" s="17">
        <v>173.78</v>
      </c>
      <c r="K25" s="17">
        <v>458.78</v>
      </c>
      <c r="L25" s="17">
        <v>498.74</v>
      </c>
      <c r="M25" s="19">
        <f>SUM(J25:L25)</f>
        <v>1131.3</v>
      </c>
      <c r="N25" s="17">
        <v>253.98</v>
      </c>
      <c r="O25" s="22"/>
      <c r="P25" s="17">
        <v>50</v>
      </c>
      <c r="Q25" s="19">
        <f>SUM(N25:P25)</f>
        <v>303.98</v>
      </c>
      <c r="R25" s="17">
        <f>+E25+I25+M25+Q25</f>
        <v>1886.28</v>
      </c>
    </row>
    <row r="26" spans="1:32" x14ac:dyDescent="0.25">
      <c r="A26" s="1" t="s">
        <v>43</v>
      </c>
      <c r="B26" s="21">
        <v>451.48</v>
      </c>
      <c r="C26" s="17">
        <v>486.62</v>
      </c>
      <c r="D26" s="17">
        <v>486.95</v>
      </c>
      <c r="E26" s="19">
        <f t="shared" si="11"/>
        <v>1425.05</v>
      </c>
      <c r="F26" s="21">
        <v>451.48</v>
      </c>
      <c r="G26" s="17">
        <v>537.37</v>
      </c>
      <c r="H26" s="17">
        <v>451.48</v>
      </c>
      <c r="I26" s="19">
        <f t="shared" si="12"/>
        <v>1440.33</v>
      </c>
      <c r="J26" s="17">
        <v>511.78</v>
      </c>
      <c r="K26" s="17">
        <v>610.67999999999995</v>
      </c>
      <c r="L26" s="17">
        <v>708.03</v>
      </c>
      <c r="M26" s="19">
        <f t="shared" si="13"/>
        <v>1830.49</v>
      </c>
      <c r="N26" s="17">
        <v>540.57000000000005</v>
      </c>
      <c r="O26" s="22">
        <v>452.44</v>
      </c>
      <c r="P26" s="17">
        <v>469.79</v>
      </c>
      <c r="Q26" s="19">
        <f t="shared" si="14"/>
        <v>1462.8</v>
      </c>
      <c r="R26" s="17">
        <f t="shared" si="15"/>
        <v>6158.67</v>
      </c>
      <c r="S26" s="23"/>
    </row>
    <row r="27" spans="1:32" x14ac:dyDescent="0.25">
      <c r="A27" s="5" t="s">
        <v>18</v>
      </c>
      <c r="B27" s="24">
        <f>SUM(B11:B26)</f>
        <v>14014.119999999999</v>
      </c>
      <c r="C27" s="24">
        <f t="shared" ref="C27:Q27" si="16">SUM(C11:C26)</f>
        <v>13639.860000000002</v>
      </c>
      <c r="D27" s="24">
        <f t="shared" si="16"/>
        <v>14022.11</v>
      </c>
      <c r="E27" s="24">
        <f t="shared" si="16"/>
        <v>41676.090000000011</v>
      </c>
      <c r="F27" s="24">
        <f t="shared" si="16"/>
        <v>13356.189999999999</v>
      </c>
      <c r="G27" s="24">
        <f t="shared" si="16"/>
        <v>14323.12</v>
      </c>
      <c r="H27" s="24">
        <f t="shared" si="16"/>
        <v>19083.889999999996</v>
      </c>
      <c r="I27" s="24">
        <f t="shared" si="16"/>
        <v>46763.200000000004</v>
      </c>
      <c r="J27" s="24">
        <f t="shared" si="16"/>
        <v>15638.02</v>
      </c>
      <c r="K27" s="24">
        <f t="shared" si="16"/>
        <v>14413.37</v>
      </c>
      <c r="L27" s="24">
        <f t="shared" si="16"/>
        <v>13821.199999999999</v>
      </c>
      <c r="M27" s="24">
        <f t="shared" si="16"/>
        <v>43872.590000000004</v>
      </c>
      <c r="N27" s="24">
        <f t="shared" si="16"/>
        <v>15339.19</v>
      </c>
      <c r="O27" s="24">
        <f t="shared" si="16"/>
        <v>15558.34</v>
      </c>
      <c r="P27" s="24">
        <f t="shared" si="16"/>
        <v>19990.010000000002</v>
      </c>
      <c r="Q27" s="24">
        <f t="shared" si="16"/>
        <v>50887.54</v>
      </c>
      <c r="R27" s="24">
        <f>SUM(R11:R26)</f>
        <v>183199.42</v>
      </c>
    </row>
    <row r="28" spans="1:32" x14ac:dyDescent="0.25">
      <c r="A28" s="1"/>
      <c r="B28" s="17"/>
      <c r="C28" s="17"/>
      <c r="D28" s="17"/>
      <c r="E28" s="18"/>
      <c r="F28" s="17"/>
      <c r="G28" s="17"/>
      <c r="H28" s="17"/>
      <c r="I28" s="18"/>
      <c r="J28" s="17"/>
      <c r="K28" s="17"/>
      <c r="L28" s="17"/>
      <c r="M28" s="18"/>
      <c r="N28" s="17"/>
      <c r="O28" s="17"/>
      <c r="P28" s="17"/>
      <c r="Q28" s="19"/>
      <c r="R28" s="17"/>
    </row>
    <row r="29" spans="1:32" x14ac:dyDescent="0.25">
      <c r="A29" s="1"/>
      <c r="B29" s="17"/>
      <c r="C29" s="17"/>
      <c r="D29" s="17"/>
      <c r="E29" s="18"/>
      <c r="F29" s="17"/>
      <c r="G29" s="17"/>
      <c r="H29" s="17"/>
      <c r="I29" s="18"/>
      <c r="J29" s="17"/>
      <c r="K29" s="17"/>
      <c r="L29" s="17"/>
      <c r="M29" s="18"/>
      <c r="N29" s="17"/>
      <c r="O29" s="17"/>
      <c r="P29" s="17"/>
      <c r="Q29" s="19"/>
      <c r="R29" s="17"/>
    </row>
    <row r="30" spans="1:32" x14ac:dyDescent="0.25">
      <c r="A30" s="6" t="s">
        <v>12</v>
      </c>
      <c r="B30" s="25">
        <f>B10-B27</f>
        <v>-9382.619999999999</v>
      </c>
      <c r="C30" s="25">
        <f t="shared" ref="C30:R30" si="17">C10-C27</f>
        <v>-9677.3600000000024</v>
      </c>
      <c r="D30" s="25">
        <f t="shared" si="17"/>
        <v>-9617.76</v>
      </c>
      <c r="E30" s="25">
        <f t="shared" si="17"/>
        <v>-28677.740000000013</v>
      </c>
      <c r="F30" s="25">
        <f t="shared" si="17"/>
        <v>-8382.9399999999987</v>
      </c>
      <c r="G30" s="25">
        <f t="shared" si="17"/>
        <v>-9466.3700000000008</v>
      </c>
      <c r="H30" s="25">
        <f t="shared" si="17"/>
        <v>-15093.139999999996</v>
      </c>
      <c r="I30" s="25">
        <f t="shared" si="17"/>
        <v>-32942.450000000004</v>
      </c>
      <c r="J30" s="25">
        <f t="shared" si="17"/>
        <v>4496.4799999999996</v>
      </c>
      <c r="K30" s="25">
        <f t="shared" si="17"/>
        <v>-12850.37</v>
      </c>
      <c r="L30" s="25">
        <f t="shared" si="17"/>
        <v>-7666.6999999999989</v>
      </c>
      <c r="M30" s="25">
        <f t="shared" si="17"/>
        <v>-16020.590000000004</v>
      </c>
      <c r="N30" s="25">
        <f t="shared" si="17"/>
        <v>-8669.69</v>
      </c>
      <c r="O30" s="25">
        <f t="shared" si="17"/>
        <v>-10605.34</v>
      </c>
      <c r="P30" s="25">
        <f t="shared" si="17"/>
        <v>-15213.210000000003</v>
      </c>
      <c r="Q30" s="26">
        <f t="shared" si="17"/>
        <v>-34488.240000000005</v>
      </c>
      <c r="R30" s="25">
        <f t="shared" si="17"/>
        <v>-112129.02000000002</v>
      </c>
      <c r="T30" s="23"/>
    </row>
    <row r="34" spans="1:18" x14ac:dyDescent="0.25">
      <c r="A34" s="30">
        <v>2020</v>
      </c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9"/>
    </row>
    <row r="35" spans="1:18" x14ac:dyDescent="0.25">
      <c r="A35" s="1"/>
      <c r="B35" s="2" t="s">
        <v>0</v>
      </c>
      <c r="C35" s="2" t="s">
        <v>1</v>
      </c>
      <c r="D35" s="2" t="s">
        <v>2</v>
      </c>
      <c r="E35" s="3" t="s">
        <v>16</v>
      </c>
      <c r="F35" s="2" t="s">
        <v>3</v>
      </c>
      <c r="G35" s="2" t="s">
        <v>4</v>
      </c>
      <c r="H35" s="2" t="s">
        <v>5</v>
      </c>
      <c r="I35" s="3" t="s">
        <v>13</v>
      </c>
      <c r="J35" s="2" t="s">
        <v>6</v>
      </c>
      <c r="K35" s="2" t="s">
        <v>7</v>
      </c>
      <c r="L35" s="2" t="s">
        <v>8</v>
      </c>
      <c r="M35" s="3" t="s">
        <v>14</v>
      </c>
      <c r="N35" s="2" t="s">
        <v>9</v>
      </c>
      <c r="O35" s="2" t="s">
        <v>10</v>
      </c>
      <c r="P35" s="2" t="s">
        <v>11</v>
      </c>
      <c r="Q35" s="7" t="s">
        <v>15</v>
      </c>
      <c r="R35" s="8" t="s">
        <v>19</v>
      </c>
    </row>
    <row r="36" spans="1:18" x14ac:dyDescent="0.25">
      <c r="A36" s="1" t="s">
        <v>21</v>
      </c>
      <c r="B36" s="17">
        <v>2463</v>
      </c>
      <c r="C36" s="17">
        <v>2075</v>
      </c>
      <c r="D36" s="17">
        <v>1947</v>
      </c>
      <c r="E36" s="18">
        <f t="shared" ref="E36:E41" si="18">SUM(B36:D36)</f>
        <v>6485</v>
      </c>
      <c r="F36" s="17"/>
      <c r="G36" s="17"/>
      <c r="H36" s="17"/>
      <c r="I36" s="18">
        <f t="shared" ref="I36:I41" si="19">SUM(F36:H36)</f>
        <v>0</v>
      </c>
      <c r="J36" s="17"/>
      <c r="K36" s="17"/>
      <c r="L36" s="17"/>
      <c r="M36" s="18">
        <f t="shared" ref="M36:M41" si="20">SUM(J36:L36)</f>
        <v>0</v>
      </c>
      <c r="N36" s="17"/>
      <c r="O36" s="17"/>
      <c r="P36" s="17"/>
      <c r="Q36" s="19">
        <f t="shared" ref="Q36:Q41" si="21">SUM(N36:P36)</f>
        <v>0</v>
      </c>
      <c r="R36" s="17">
        <f t="shared" ref="R36:R42" si="22">+E36+I36+M36+Q36</f>
        <v>6485</v>
      </c>
    </row>
    <row r="37" spans="1:18" x14ac:dyDescent="0.25">
      <c r="A37" s="1" t="s">
        <v>22</v>
      </c>
      <c r="B37" s="17">
        <v>2345</v>
      </c>
      <c r="C37" s="17">
        <v>2317.5</v>
      </c>
      <c r="D37" s="17">
        <v>2332.5</v>
      </c>
      <c r="E37" s="18">
        <f t="shared" si="18"/>
        <v>6995</v>
      </c>
      <c r="F37" s="17"/>
      <c r="G37" s="17"/>
      <c r="H37" s="17"/>
      <c r="I37" s="18">
        <f t="shared" si="19"/>
        <v>0</v>
      </c>
      <c r="J37" s="17"/>
      <c r="K37" s="17"/>
      <c r="L37" s="17"/>
      <c r="M37" s="18">
        <f t="shared" si="20"/>
        <v>0</v>
      </c>
      <c r="N37" s="17"/>
      <c r="O37" s="17"/>
      <c r="P37" s="17"/>
      <c r="Q37" s="19">
        <f t="shared" si="21"/>
        <v>0</v>
      </c>
      <c r="R37" s="17">
        <f t="shared" si="22"/>
        <v>6995</v>
      </c>
    </row>
    <row r="38" spans="1:18" x14ac:dyDescent="0.25">
      <c r="A38" s="1" t="s">
        <v>23</v>
      </c>
      <c r="B38" s="17">
        <v>17</v>
      </c>
      <c r="C38" s="17">
        <v>31</v>
      </c>
      <c r="D38" s="17">
        <v>8.5</v>
      </c>
      <c r="E38" s="18">
        <f t="shared" si="18"/>
        <v>56.5</v>
      </c>
      <c r="F38" s="17"/>
      <c r="G38" s="17"/>
      <c r="H38" s="17"/>
      <c r="I38" s="18">
        <f t="shared" si="19"/>
        <v>0</v>
      </c>
      <c r="J38" s="17"/>
      <c r="K38" s="17"/>
      <c r="L38" s="17"/>
      <c r="M38" s="18">
        <f t="shared" si="20"/>
        <v>0</v>
      </c>
      <c r="N38" s="17"/>
      <c r="O38" s="17"/>
      <c r="P38" s="17"/>
      <c r="Q38" s="19">
        <f t="shared" si="21"/>
        <v>0</v>
      </c>
      <c r="R38" s="17">
        <f t="shared" si="22"/>
        <v>56.5</v>
      </c>
    </row>
    <row r="39" spans="1:18" x14ac:dyDescent="0.25">
      <c r="A39" s="1" t="s">
        <v>24</v>
      </c>
      <c r="B39" s="17">
        <v>325</v>
      </c>
      <c r="C39" s="17">
        <v>370</v>
      </c>
      <c r="D39" s="17"/>
      <c r="E39" s="18">
        <f t="shared" si="18"/>
        <v>695</v>
      </c>
      <c r="F39" s="17"/>
      <c r="G39" s="17"/>
      <c r="H39" s="17"/>
      <c r="I39" s="18">
        <f t="shared" si="19"/>
        <v>0</v>
      </c>
      <c r="J39" s="17"/>
      <c r="K39" s="17"/>
      <c r="L39" s="17"/>
      <c r="M39" s="18">
        <f t="shared" si="20"/>
        <v>0</v>
      </c>
      <c r="N39" s="17"/>
      <c r="O39" s="17"/>
      <c r="P39" s="17"/>
      <c r="Q39" s="19">
        <f t="shared" si="21"/>
        <v>0</v>
      </c>
      <c r="R39" s="17">
        <f t="shared" si="22"/>
        <v>695</v>
      </c>
    </row>
    <row r="40" spans="1:18" x14ac:dyDescent="0.25">
      <c r="A40" s="1" t="s">
        <v>25</v>
      </c>
      <c r="B40" s="17">
        <v>417.5</v>
      </c>
      <c r="C40" s="17"/>
      <c r="D40" s="17"/>
      <c r="E40" s="18">
        <f t="shared" si="18"/>
        <v>417.5</v>
      </c>
      <c r="F40" s="17"/>
      <c r="G40" s="17"/>
      <c r="H40" s="17"/>
      <c r="I40" s="18">
        <f t="shared" si="19"/>
        <v>0</v>
      </c>
      <c r="J40" s="17"/>
      <c r="K40" s="17"/>
      <c r="L40" s="17"/>
      <c r="M40" s="18">
        <f t="shared" si="20"/>
        <v>0</v>
      </c>
      <c r="N40" s="17"/>
      <c r="O40" s="17"/>
      <c r="P40" s="17"/>
      <c r="Q40" s="19">
        <f t="shared" si="21"/>
        <v>0</v>
      </c>
      <c r="R40" s="17">
        <f t="shared" si="22"/>
        <v>417.5</v>
      </c>
    </row>
    <row r="41" spans="1:18" x14ac:dyDescent="0.25">
      <c r="A41" s="1" t="s">
        <v>26</v>
      </c>
      <c r="B41" s="17">
        <v>40</v>
      </c>
      <c r="C41" s="17"/>
      <c r="D41" s="17"/>
      <c r="E41" s="18">
        <f t="shared" si="18"/>
        <v>40</v>
      </c>
      <c r="F41" s="17"/>
      <c r="G41" s="17"/>
      <c r="H41" s="17"/>
      <c r="I41" s="18">
        <f t="shared" si="19"/>
        <v>0</v>
      </c>
      <c r="J41" s="17"/>
      <c r="K41" s="17"/>
      <c r="L41" s="17"/>
      <c r="M41" s="18">
        <f t="shared" si="20"/>
        <v>0</v>
      </c>
      <c r="N41" s="17"/>
      <c r="O41" s="17"/>
      <c r="P41" s="17"/>
      <c r="Q41" s="19">
        <f t="shared" si="21"/>
        <v>0</v>
      </c>
      <c r="R41" s="17">
        <f t="shared" si="22"/>
        <v>40</v>
      </c>
    </row>
    <row r="42" spans="1:18" x14ac:dyDescent="0.25">
      <c r="A42" s="1" t="s">
        <v>27</v>
      </c>
      <c r="B42" s="17"/>
      <c r="C42" s="17"/>
      <c r="D42" s="17"/>
      <c r="E42" s="18"/>
      <c r="F42" s="17"/>
      <c r="G42" s="17"/>
      <c r="H42" s="17"/>
      <c r="I42" s="18"/>
      <c r="J42" s="17"/>
      <c r="K42" s="17"/>
      <c r="L42" s="17"/>
      <c r="M42" s="18"/>
      <c r="N42" s="17"/>
      <c r="O42" s="17"/>
      <c r="P42" s="17"/>
      <c r="Q42" s="19"/>
      <c r="R42" s="17">
        <f t="shared" si="22"/>
        <v>0</v>
      </c>
    </row>
    <row r="43" spans="1:18" x14ac:dyDescent="0.25">
      <c r="A43" s="4" t="s">
        <v>17</v>
      </c>
      <c r="B43" s="20">
        <f t="shared" ref="B43:D43" si="23">SUM(B36:B42)</f>
        <v>5607.5</v>
      </c>
      <c r="C43" s="20">
        <f t="shared" si="23"/>
        <v>4793.5</v>
      </c>
      <c r="D43" s="20">
        <f t="shared" si="23"/>
        <v>4288</v>
      </c>
      <c r="E43" s="20">
        <f>SUM(E36:E42)</f>
        <v>14689</v>
      </c>
      <c r="F43" s="20">
        <f t="shared" ref="F43:Q43" si="24">SUM(F36:F42)</f>
        <v>0</v>
      </c>
      <c r="G43" s="20">
        <f t="shared" si="24"/>
        <v>0</v>
      </c>
      <c r="H43" s="20">
        <f t="shared" si="24"/>
        <v>0</v>
      </c>
      <c r="I43" s="20">
        <f t="shared" si="24"/>
        <v>0</v>
      </c>
      <c r="J43" s="20">
        <f t="shared" si="24"/>
        <v>0</v>
      </c>
      <c r="K43" s="20">
        <f t="shared" si="24"/>
        <v>0</v>
      </c>
      <c r="L43" s="20">
        <f t="shared" si="24"/>
        <v>0</v>
      </c>
      <c r="M43" s="20">
        <f t="shared" si="24"/>
        <v>0</v>
      </c>
      <c r="N43" s="20">
        <f t="shared" si="24"/>
        <v>0</v>
      </c>
      <c r="O43" s="20">
        <f t="shared" si="24"/>
        <v>0</v>
      </c>
      <c r="P43" s="20">
        <f t="shared" si="24"/>
        <v>0</v>
      </c>
      <c r="Q43" s="20">
        <f t="shared" si="24"/>
        <v>0</v>
      </c>
      <c r="R43" s="20">
        <f>SUM(R36:R42)</f>
        <v>14689</v>
      </c>
    </row>
    <row r="44" spans="1:18" x14ac:dyDescent="0.25">
      <c r="A44" s="1" t="s">
        <v>28</v>
      </c>
      <c r="B44" s="17">
        <f>408.95+1459.74</f>
        <v>1868.69</v>
      </c>
      <c r="C44" s="17">
        <v>1459.74</v>
      </c>
      <c r="D44" s="17">
        <v>1459.74</v>
      </c>
      <c r="E44" s="18">
        <f t="shared" ref="E44:E54" si="25">SUM(B44:D44)</f>
        <v>4788.17</v>
      </c>
      <c r="F44" s="17">
        <f>1459.74+824.71</f>
        <v>2284.4499999999998</v>
      </c>
      <c r="G44" s="17"/>
      <c r="H44" s="17"/>
      <c r="I44" s="18">
        <f t="shared" ref="I44:I56" si="26">SUM(F44:H44)</f>
        <v>2284.4499999999998</v>
      </c>
      <c r="J44" s="17"/>
      <c r="K44" s="17"/>
      <c r="L44" s="17"/>
      <c r="M44" s="18">
        <f t="shared" ref="M44:M56" si="27">SUM(J44:L44)</f>
        <v>0</v>
      </c>
      <c r="N44" s="17"/>
      <c r="O44" s="17"/>
      <c r="P44" s="17"/>
      <c r="Q44" s="18">
        <f t="shared" ref="Q44:Q58" si="28">SUM(N44:P44)</f>
        <v>0</v>
      </c>
      <c r="R44" s="17">
        <f t="shared" ref="R44:R56" si="29">+E44+I44+M44+Q44</f>
        <v>7072.62</v>
      </c>
    </row>
    <row r="45" spans="1:18" x14ac:dyDescent="0.25">
      <c r="A45" s="1" t="s">
        <v>44</v>
      </c>
      <c r="B45" s="17">
        <v>415.03</v>
      </c>
      <c r="C45" s="17">
        <v>415.03</v>
      </c>
      <c r="D45" s="17">
        <v>415.03</v>
      </c>
      <c r="E45" s="18">
        <f t="shared" si="25"/>
        <v>1245.0899999999999</v>
      </c>
      <c r="F45" s="17">
        <v>415.03</v>
      </c>
      <c r="G45" s="17"/>
      <c r="H45" s="17"/>
      <c r="I45" s="18">
        <f t="shared" si="26"/>
        <v>415.03</v>
      </c>
      <c r="J45" s="17"/>
      <c r="K45" s="17"/>
      <c r="L45" s="17"/>
      <c r="M45" s="18">
        <f t="shared" si="27"/>
        <v>0</v>
      </c>
      <c r="N45" s="17"/>
      <c r="O45" s="17"/>
      <c r="P45" s="17"/>
      <c r="Q45" s="18">
        <f t="shared" si="28"/>
        <v>0</v>
      </c>
      <c r="R45" s="17">
        <f t="shared" si="29"/>
        <v>1660.12</v>
      </c>
    </row>
    <row r="46" spans="1:18" x14ac:dyDescent="0.25">
      <c r="A46" s="1" t="s">
        <v>29</v>
      </c>
      <c r="B46" s="17">
        <v>606.15</v>
      </c>
      <c r="C46" s="17"/>
      <c r="D46" s="17"/>
      <c r="E46" s="18">
        <f t="shared" si="25"/>
        <v>606.15</v>
      </c>
      <c r="F46" s="17"/>
      <c r="G46" s="17"/>
      <c r="H46" s="17"/>
      <c r="I46" s="18">
        <f t="shared" si="26"/>
        <v>0</v>
      </c>
      <c r="J46" s="17"/>
      <c r="K46" s="17"/>
      <c r="L46" s="17"/>
      <c r="M46" s="18">
        <f t="shared" si="27"/>
        <v>0</v>
      </c>
      <c r="N46" s="17"/>
      <c r="O46" s="17"/>
      <c r="P46" s="17"/>
      <c r="Q46" s="18">
        <f t="shared" si="28"/>
        <v>0</v>
      </c>
      <c r="R46" s="17">
        <f t="shared" si="29"/>
        <v>606.15</v>
      </c>
    </row>
    <row r="47" spans="1:18" x14ac:dyDescent="0.25">
      <c r="A47" s="1" t="s">
        <v>30</v>
      </c>
      <c r="B47" s="17">
        <v>1514</v>
      </c>
      <c r="C47" s="17">
        <f>216+387+200+540+363+288</f>
        <v>1994</v>
      </c>
      <c r="D47" s="17">
        <f>216+452+200+648+288</f>
        <v>1804</v>
      </c>
      <c r="E47" s="18">
        <f t="shared" si="25"/>
        <v>5312</v>
      </c>
      <c r="F47" s="17"/>
      <c r="G47" s="17"/>
      <c r="H47" s="17"/>
      <c r="I47" s="18">
        <f t="shared" si="26"/>
        <v>0</v>
      </c>
      <c r="J47" s="17"/>
      <c r="K47" s="17"/>
      <c r="L47" s="17"/>
      <c r="M47" s="18">
        <f t="shared" si="27"/>
        <v>0</v>
      </c>
      <c r="N47" s="17"/>
      <c r="O47" s="17"/>
      <c r="P47" s="17"/>
      <c r="Q47" s="18">
        <f t="shared" si="28"/>
        <v>0</v>
      </c>
      <c r="R47" s="17">
        <f t="shared" si="29"/>
        <v>5312</v>
      </c>
    </row>
    <row r="48" spans="1:18" x14ac:dyDescent="0.25">
      <c r="A48" s="1" t="s">
        <v>31</v>
      </c>
      <c r="B48" s="17">
        <v>363</v>
      </c>
      <c r="C48" s="17">
        <v>363</v>
      </c>
      <c r="D48" s="17">
        <v>363</v>
      </c>
      <c r="E48" s="18">
        <f t="shared" si="25"/>
        <v>1089</v>
      </c>
      <c r="F48" s="17"/>
      <c r="G48" s="17"/>
      <c r="H48" s="17"/>
      <c r="I48" s="18">
        <f t="shared" si="26"/>
        <v>0</v>
      </c>
      <c r="J48" s="17"/>
      <c r="K48" s="17"/>
      <c r="L48" s="17"/>
      <c r="M48" s="18">
        <f t="shared" si="27"/>
        <v>0</v>
      </c>
      <c r="N48" s="17"/>
      <c r="O48" s="17"/>
      <c r="P48" s="17"/>
      <c r="Q48" s="18">
        <f t="shared" si="28"/>
        <v>0</v>
      </c>
      <c r="R48" s="17">
        <f t="shared" si="29"/>
        <v>1089</v>
      </c>
    </row>
    <row r="49" spans="1:18" x14ac:dyDescent="0.25">
      <c r="A49" s="1" t="s">
        <v>32</v>
      </c>
      <c r="B49" s="17"/>
      <c r="C49" s="17"/>
      <c r="D49" s="17"/>
      <c r="E49" s="18">
        <f t="shared" si="25"/>
        <v>0</v>
      </c>
      <c r="F49" s="17"/>
      <c r="G49" s="17"/>
      <c r="H49" s="17"/>
      <c r="I49" s="18">
        <f t="shared" si="26"/>
        <v>0</v>
      </c>
      <c r="J49" s="17"/>
      <c r="K49" s="17"/>
      <c r="L49" s="17"/>
      <c r="M49" s="18">
        <f t="shared" si="27"/>
        <v>0</v>
      </c>
      <c r="N49" s="17"/>
      <c r="O49" s="17"/>
      <c r="P49" s="17"/>
      <c r="Q49" s="18">
        <f t="shared" si="28"/>
        <v>0</v>
      </c>
      <c r="R49" s="17">
        <f t="shared" si="29"/>
        <v>0</v>
      </c>
    </row>
    <row r="50" spans="1:18" x14ac:dyDescent="0.25">
      <c r="A50" s="1" t="s">
        <v>33</v>
      </c>
      <c r="B50" s="17">
        <v>64.989999999999995</v>
      </c>
      <c r="C50" s="17"/>
      <c r="D50" s="17"/>
      <c r="E50" s="18">
        <f t="shared" si="25"/>
        <v>64.989999999999995</v>
      </c>
      <c r="F50" s="17"/>
      <c r="G50" s="17"/>
      <c r="H50" s="17"/>
      <c r="I50" s="18">
        <f t="shared" si="26"/>
        <v>0</v>
      </c>
      <c r="J50" s="17"/>
      <c r="K50" s="17"/>
      <c r="L50" s="17"/>
      <c r="M50" s="18">
        <f t="shared" si="27"/>
        <v>0</v>
      </c>
      <c r="N50" s="17"/>
      <c r="O50" s="17"/>
      <c r="P50" s="17"/>
      <c r="Q50" s="18">
        <f t="shared" si="28"/>
        <v>0</v>
      </c>
      <c r="R50" s="17">
        <f t="shared" si="29"/>
        <v>64.989999999999995</v>
      </c>
    </row>
    <row r="51" spans="1:18" x14ac:dyDescent="0.25">
      <c r="A51" s="1" t="s">
        <v>36</v>
      </c>
      <c r="B51" s="17">
        <f>40.11+39.52</f>
        <v>79.63</v>
      </c>
      <c r="C51" s="17">
        <f t="shared" ref="C51:D51" si="30">40.11+39.52</f>
        <v>79.63</v>
      </c>
      <c r="D51" s="17">
        <f t="shared" si="30"/>
        <v>79.63</v>
      </c>
      <c r="E51" s="18">
        <f>SUM(B51:D51)</f>
        <v>238.89</v>
      </c>
      <c r="F51" s="17">
        <f t="shared" ref="F51:G51" si="31">40.11+39.52</f>
        <v>79.63</v>
      </c>
      <c r="G51" s="17">
        <f t="shared" si="31"/>
        <v>79.63</v>
      </c>
      <c r="H51" s="17"/>
      <c r="I51" s="18">
        <f t="shared" si="26"/>
        <v>159.26</v>
      </c>
      <c r="J51" s="17"/>
      <c r="K51" s="17"/>
      <c r="L51" s="17"/>
      <c r="M51" s="18">
        <f t="shared" si="27"/>
        <v>0</v>
      </c>
      <c r="N51" s="17"/>
      <c r="O51" s="17"/>
      <c r="P51" s="17"/>
      <c r="Q51" s="18">
        <f t="shared" si="28"/>
        <v>0</v>
      </c>
      <c r="R51" s="17">
        <f t="shared" si="29"/>
        <v>398.15</v>
      </c>
    </row>
    <row r="52" spans="1:18" x14ac:dyDescent="0.25">
      <c r="A52" s="1" t="s">
        <v>37</v>
      </c>
      <c r="B52" s="17">
        <v>1334.93</v>
      </c>
      <c r="C52" s="17">
        <v>1204.1400000000001</v>
      </c>
      <c r="D52" s="17">
        <v>1004.2</v>
      </c>
      <c r="E52" s="18">
        <f t="shared" si="25"/>
        <v>3543.2700000000004</v>
      </c>
      <c r="F52" s="17"/>
      <c r="G52" s="17"/>
      <c r="H52" s="17"/>
      <c r="I52" s="18">
        <f t="shared" si="26"/>
        <v>0</v>
      </c>
      <c r="J52" s="17"/>
      <c r="K52" s="17"/>
      <c r="L52" s="17"/>
      <c r="M52" s="18">
        <f t="shared" si="27"/>
        <v>0</v>
      </c>
      <c r="N52" s="17"/>
      <c r="O52" s="17"/>
      <c r="P52" s="17"/>
      <c r="Q52" s="18">
        <f t="shared" si="28"/>
        <v>0</v>
      </c>
      <c r="R52" s="17">
        <f t="shared" si="29"/>
        <v>3543.2700000000004</v>
      </c>
    </row>
    <row r="53" spans="1:18" x14ac:dyDescent="0.25">
      <c r="A53" s="1" t="s">
        <v>40</v>
      </c>
      <c r="B53" s="17"/>
      <c r="C53" s="17"/>
      <c r="D53" s="17">
        <v>567.42999999999995</v>
      </c>
      <c r="E53" s="18">
        <f t="shared" si="25"/>
        <v>567.42999999999995</v>
      </c>
      <c r="F53" s="17"/>
      <c r="G53" s="17"/>
      <c r="H53" s="17"/>
      <c r="I53" s="18">
        <f t="shared" si="26"/>
        <v>0</v>
      </c>
      <c r="J53" s="17"/>
      <c r="K53" s="17"/>
      <c r="L53" s="17"/>
      <c r="M53" s="18">
        <f t="shared" si="27"/>
        <v>0</v>
      </c>
      <c r="N53" s="17"/>
      <c r="O53" s="17"/>
      <c r="P53" s="17"/>
      <c r="Q53" s="18">
        <f t="shared" si="28"/>
        <v>0</v>
      </c>
      <c r="R53" s="17">
        <f t="shared" si="29"/>
        <v>567.42999999999995</v>
      </c>
    </row>
    <row r="54" spans="1:18" x14ac:dyDescent="0.25">
      <c r="A54" s="1" t="s">
        <v>38</v>
      </c>
      <c r="B54" s="17"/>
      <c r="C54" s="17">
        <f>173.54+219.11</f>
        <v>392.65</v>
      </c>
      <c r="D54" s="17"/>
      <c r="E54" s="18">
        <f t="shared" si="25"/>
        <v>392.65</v>
      </c>
      <c r="F54" s="17">
        <f>199.19+183.67</f>
        <v>382.86</v>
      </c>
      <c r="G54" s="17"/>
      <c r="H54" s="17"/>
      <c r="I54" s="18">
        <f t="shared" si="26"/>
        <v>382.86</v>
      </c>
      <c r="J54" s="17"/>
      <c r="K54" s="17"/>
      <c r="L54" s="17"/>
      <c r="M54" s="18">
        <f t="shared" si="27"/>
        <v>0</v>
      </c>
      <c r="N54" s="17"/>
      <c r="O54" s="17"/>
      <c r="P54" s="17"/>
      <c r="Q54" s="18">
        <f t="shared" si="28"/>
        <v>0</v>
      </c>
      <c r="R54" s="17">
        <f t="shared" si="29"/>
        <v>775.51</v>
      </c>
    </row>
    <row r="55" spans="1:18" x14ac:dyDescent="0.25">
      <c r="A55" s="1" t="s">
        <v>34</v>
      </c>
      <c r="B55" s="17">
        <f>1633.07+707.44+1023.64+1317.41+300</f>
        <v>4981.5600000000004</v>
      </c>
      <c r="C55" s="17">
        <f>1665.72+721.59+1044.11+1343.79+300</f>
        <v>5075.21</v>
      </c>
      <c r="D55" s="17">
        <f>1655.72+721.59+1044.11+1344.19+300</f>
        <v>5065.6100000000006</v>
      </c>
      <c r="E55" s="18">
        <f>SUM(B55:D55)</f>
        <v>15122.380000000001</v>
      </c>
      <c r="F55" s="17">
        <f>1704.78+721.96+1044.11+1344.19</f>
        <v>4815.0399999999991</v>
      </c>
      <c r="G55" s="17"/>
      <c r="H55" s="17"/>
      <c r="I55" s="18">
        <f t="shared" si="26"/>
        <v>4815.0399999999991</v>
      </c>
      <c r="J55" s="17"/>
      <c r="K55" s="17"/>
      <c r="L55" s="17"/>
      <c r="M55" s="18">
        <f t="shared" si="27"/>
        <v>0</v>
      </c>
      <c r="N55" s="17"/>
      <c r="O55" s="17"/>
      <c r="P55" s="17"/>
      <c r="Q55" s="18">
        <f t="shared" si="28"/>
        <v>0</v>
      </c>
      <c r="R55" s="17">
        <f t="shared" si="29"/>
        <v>19937.419999999998</v>
      </c>
    </row>
    <row r="56" spans="1:18" x14ac:dyDescent="0.25">
      <c r="A56" s="12" t="s">
        <v>41</v>
      </c>
      <c r="B56" s="17">
        <v>1771.53</v>
      </c>
      <c r="C56" s="17">
        <v>1807</v>
      </c>
      <c r="D56" s="17">
        <v>1807.3</v>
      </c>
      <c r="E56" s="18">
        <f t="shared" ref="E56" si="32">SUM(B56:D56)</f>
        <v>5385.83</v>
      </c>
      <c r="F56" s="17">
        <v>1821.08</v>
      </c>
      <c r="G56" s="17"/>
      <c r="H56" s="17"/>
      <c r="I56" s="18">
        <f t="shared" si="26"/>
        <v>1821.08</v>
      </c>
      <c r="J56" s="17"/>
      <c r="K56" s="17"/>
      <c r="L56" s="17"/>
      <c r="M56" s="18">
        <f t="shared" si="27"/>
        <v>0</v>
      </c>
      <c r="N56" s="17"/>
      <c r="O56" s="17"/>
      <c r="P56" s="17"/>
      <c r="Q56" s="18">
        <f t="shared" si="28"/>
        <v>0</v>
      </c>
      <c r="R56" s="17">
        <f t="shared" si="29"/>
        <v>7206.91</v>
      </c>
    </row>
    <row r="57" spans="1:18" x14ac:dyDescent="0.25">
      <c r="A57" s="12" t="s">
        <v>42</v>
      </c>
      <c r="B57" s="17">
        <v>1146.1500000000001</v>
      </c>
      <c r="C57" s="17">
        <v>1169.07</v>
      </c>
      <c r="D57" s="17">
        <v>1169.1600000000001</v>
      </c>
      <c r="E57" s="18">
        <f>SUM(B57:D57)</f>
        <v>3484.38</v>
      </c>
      <c r="F57" s="17">
        <v>1149.68</v>
      </c>
      <c r="G57" s="17"/>
      <c r="H57" s="17"/>
      <c r="I57" s="18">
        <f>SUM(F57:H57)</f>
        <v>1149.68</v>
      </c>
      <c r="J57" s="17"/>
      <c r="K57" s="17"/>
      <c r="L57" s="17"/>
      <c r="M57" s="18">
        <f>SUM(J57:L57)</f>
        <v>0</v>
      </c>
      <c r="N57" s="17"/>
      <c r="O57" s="17"/>
      <c r="P57" s="17"/>
      <c r="Q57" s="18">
        <f t="shared" si="28"/>
        <v>0</v>
      </c>
      <c r="R57" s="17">
        <f>+E57+I57+M57+Q564</f>
        <v>4634.0600000000004</v>
      </c>
    </row>
    <row r="58" spans="1:18" x14ac:dyDescent="0.25">
      <c r="A58" s="12" t="s">
        <v>43</v>
      </c>
      <c r="B58" s="17">
        <v>452.45</v>
      </c>
      <c r="C58" s="17">
        <v>461.47</v>
      </c>
      <c r="D58" s="17">
        <v>447.99</v>
      </c>
      <c r="E58" s="18">
        <f>SUM(B58:D58)</f>
        <v>1361.91</v>
      </c>
      <c r="F58" s="17">
        <v>461.52</v>
      </c>
      <c r="G58" s="17"/>
      <c r="H58" s="17"/>
      <c r="I58" s="18">
        <f>SUM(F58:H58)</f>
        <v>461.52</v>
      </c>
      <c r="J58" s="17"/>
      <c r="K58" s="17"/>
      <c r="L58" s="17"/>
      <c r="M58" s="18">
        <f>SUM(J58:L58)</f>
        <v>0</v>
      </c>
      <c r="N58" s="17"/>
      <c r="O58" s="17"/>
      <c r="P58" s="17"/>
      <c r="Q58" s="18">
        <f t="shared" si="28"/>
        <v>0</v>
      </c>
      <c r="R58" s="17">
        <f>+E58+I58+M58+Q58</f>
        <v>1823.43</v>
      </c>
    </row>
    <row r="59" spans="1:18" x14ac:dyDescent="0.25">
      <c r="A59" s="5" t="s">
        <v>18</v>
      </c>
      <c r="B59" s="24">
        <f>SUM(B44:B58)</f>
        <v>14598.110000000002</v>
      </c>
      <c r="C59" s="24">
        <f t="shared" ref="C59:Q59" si="33">SUM(C44:C58)</f>
        <v>14420.94</v>
      </c>
      <c r="D59" s="24">
        <f t="shared" si="33"/>
        <v>14183.089999999998</v>
      </c>
      <c r="E59" s="24">
        <f t="shared" si="33"/>
        <v>43202.140000000007</v>
      </c>
      <c r="F59" s="24">
        <f t="shared" si="33"/>
        <v>11409.289999999999</v>
      </c>
      <c r="G59" s="24">
        <f t="shared" si="33"/>
        <v>79.63</v>
      </c>
      <c r="H59" s="24">
        <f t="shared" si="33"/>
        <v>0</v>
      </c>
      <c r="I59" s="24">
        <f t="shared" si="33"/>
        <v>11488.92</v>
      </c>
      <c r="J59" s="24">
        <f t="shared" si="33"/>
        <v>0</v>
      </c>
      <c r="K59" s="24">
        <f t="shared" si="33"/>
        <v>0</v>
      </c>
      <c r="L59" s="24">
        <f t="shared" si="33"/>
        <v>0</v>
      </c>
      <c r="M59" s="24">
        <f t="shared" si="33"/>
        <v>0</v>
      </c>
      <c r="N59" s="24">
        <f t="shared" si="33"/>
        <v>0</v>
      </c>
      <c r="O59" s="24">
        <f t="shared" si="33"/>
        <v>0</v>
      </c>
      <c r="P59" s="24">
        <f t="shared" si="33"/>
        <v>0</v>
      </c>
      <c r="Q59" s="24">
        <f t="shared" si="33"/>
        <v>0</v>
      </c>
      <c r="R59" s="24">
        <f>SUM(R44:R58)</f>
        <v>54691.05999999999</v>
      </c>
    </row>
    <row r="60" spans="1:18" x14ac:dyDescent="0.25">
      <c r="A60" s="1"/>
      <c r="B60" s="17"/>
      <c r="C60" s="17"/>
      <c r="D60" s="17"/>
      <c r="E60" s="18"/>
      <c r="F60" s="17"/>
      <c r="G60" s="17"/>
      <c r="H60" s="17"/>
      <c r="I60" s="18"/>
      <c r="J60" s="17"/>
      <c r="K60" s="17"/>
      <c r="L60" s="17"/>
      <c r="M60" s="18"/>
      <c r="N60" s="17"/>
      <c r="O60" s="17"/>
      <c r="P60" s="17"/>
      <c r="Q60" s="19"/>
      <c r="R60" s="17"/>
    </row>
    <row r="61" spans="1:18" x14ac:dyDescent="0.25">
      <c r="A61" s="1"/>
      <c r="B61" s="17"/>
      <c r="C61" s="17"/>
      <c r="D61" s="17"/>
      <c r="E61" s="18"/>
      <c r="F61" s="17"/>
      <c r="G61" s="17"/>
      <c r="H61" s="17"/>
      <c r="I61" s="18"/>
      <c r="J61" s="17"/>
      <c r="K61" s="17"/>
      <c r="L61" s="17"/>
      <c r="M61" s="18"/>
      <c r="N61" s="17"/>
      <c r="O61" s="17"/>
      <c r="P61" s="17"/>
      <c r="Q61" s="19"/>
      <c r="R61" s="17"/>
    </row>
    <row r="62" spans="1:18" x14ac:dyDescent="0.25">
      <c r="A62" s="10" t="s">
        <v>12</v>
      </c>
      <c r="B62" s="27">
        <f>B43-B59</f>
        <v>-8990.6100000000024</v>
      </c>
      <c r="C62" s="27">
        <f t="shared" ref="C62:R62" si="34">C43-C59</f>
        <v>-9627.44</v>
      </c>
      <c r="D62" s="27">
        <f t="shared" si="34"/>
        <v>-9895.0899999999983</v>
      </c>
      <c r="E62" s="27">
        <f t="shared" si="34"/>
        <v>-28513.140000000007</v>
      </c>
      <c r="F62" s="27">
        <f t="shared" si="34"/>
        <v>-11409.289999999999</v>
      </c>
      <c r="G62" s="27">
        <f t="shared" si="34"/>
        <v>-79.63</v>
      </c>
      <c r="H62" s="27">
        <f t="shared" si="34"/>
        <v>0</v>
      </c>
      <c r="I62" s="27">
        <f t="shared" si="34"/>
        <v>-11488.92</v>
      </c>
      <c r="J62" s="27">
        <f t="shared" si="34"/>
        <v>0</v>
      </c>
      <c r="K62" s="27">
        <f t="shared" si="34"/>
        <v>0</v>
      </c>
      <c r="L62" s="27">
        <f t="shared" si="34"/>
        <v>0</v>
      </c>
      <c r="M62" s="27">
        <f t="shared" si="34"/>
        <v>0</v>
      </c>
      <c r="N62" s="27">
        <f t="shared" si="34"/>
        <v>0</v>
      </c>
      <c r="O62" s="27">
        <f t="shared" si="34"/>
        <v>0</v>
      </c>
      <c r="P62" s="27">
        <f t="shared" si="34"/>
        <v>0</v>
      </c>
      <c r="Q62" s="28">
        <f t="shared" si="34"/>
        <v>0</v>
      </c>
      <c r="R62" s="27">
        <f t="shared" si="34"/>
        <v>-40002.05999999999</v>
      </c>
    </row>
    <row r="63" spans="1:18" x14ac:dyDescent="0.25"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</row>
    <row r="64" spans="1:18" x14ac:dyDescent="0.25"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</row>
    <row r="65" spans="1:18" x14ac:dyDescent="0.25"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</row>
    <row r="66" spans="1:18" x14ac:dyDescent="0.25">
      <c r="A66" s="11" t="s">
        <v>20</v>
      </c>
      <c r="B66" s="29">
        <f>B62-B30</f>
        <v>392.00999999999658</v>
      </c>
      <c r="C66" s="29">
        <f t="shared" ref="C66:R66" si="35">C62-C30</f>
        <v>49.920000000001892</v>
      </c>
      <c r="D66" s="29">
        <f t="shared" si="35"/>
        <v>-277.32999999999811</v>
      </c>
      <c r="E66" s="29">
        <f t="shared" si="35"/>
        <v>164.60000000000582</v>
      </c>
      <c r="F66" s="29">
        <f t="shared" si="35"/>
        <v>-3026.3500000000004</v>
      </c>
      <c r="G66" s="29">
        <f t="shared" si="35"/>
        <v>9386.7400000000016</v>
      </c>
      <c r="H66" s="29">
        <f t="shared" si="35"/>
        <v>15093.139999999996</v>
      </c>
      <c r="I66" s="29">
        <f t="shared" si="35"/>
        <v>21453.530000000006</v>
      </c>
      <c r="J66" s="29">
        <f t="shared" si="35"/>
        <v>-4496.4799999999996</v>
      </c>
      <c r="K66" s="29">
        <f t="shared" si="35"/>
        <v>12850.37</v>
      </c>
      <c r="L66" s="29">
        <f t="shared" si="35"/>
        <v>7666.6999999999989</v>
      </c>
      <c r="M66" s="29">
        <f t="shared" si="35"/>
        <v>16020.590000000004</v>
      </c>
      <c r="N66" s="29">
        <f t="shared" si="35"/>
        <v>8669.69</v>
      </c>
      <c r="O66" s="29">
        <f t="shared" si="35"/>
        <v>10605.34</v>
      </c>
      <c r="P66" s="29">
        <f t="shared" si="35"/>
        <v>15213.210000000003</v>
      </c>
      <c r="Q66" s="29">
        <f t="shared" si="35"/>
        <v>34488.240000000005</v>
      </c>
      <c r="R66" s="29">
        <f t="shared" si="35"/>
        <v>72126.960000000021</v>
      </c>
    </row>
  </sheetData>
  <mergeCells count="2">
    <mergeCell ref="A1:Q1"/>
    <mergeCell ref="A34:Q34"/>
  </mergeCells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secretariobuitrago@outlook.es</dc:creator>
  <cp:lastModifiedBy>secretariobuitrago@outlook.es</cp:lastModifiedBy>
  <cp:lastPrinted>2020-05-25T12:44:52Z</cp:lastPrinted>
  <dcterms:created xsi:type="dcterms:W3CDTF">2020-05-05T07:46:09Z</dcterms:created>
  <dcterms:modified xsi:type="dcterms:W3CDTF">2020-05-25T12:44:55Z</dcterms:modified>
</cp:coreProperties>
</file>