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4. 2020\2º TRIMESTRE\4. INFORMES ECONÓMICOS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D51" i="1"/>
  <c r="Q9" i="1"/>
  <c r="M9" i="1"/>
  <c r="I9" i="1"/>
  <c r="E9" i="1"/>
  <c r="Q52" i="1"/>
  <c r="M52" i="1"/>
  <c r="Q54" i="1"/>
  <c r="M54" i="1"/>
  <c r="E54" i="1"/>
  <c r="I54" i="1"/>
  <c r="Q53" i="1"/>
  <c r="M53" i="1"/>
  <c r="I53" i="1"/>
  <c r="D53" i="1"/>
  <c r="C53" i="1"/>
  <c r="B53" i="1"/>
  <c r="O23" i="1"/>
  <c r="N23" i="1"/>
  <c r="Q23" i="1" s="1"/>
  <c r="L23" i="1"/>
  <c r="K23" i="1"/>
  <c r="J23" i="1"/>
  <c r="H23" i="1"/>
  <c r="G23" i="1"/>
  <c r="F23" i="1"/>
  <c r="D23" i="1"/>
  <c r="C23" i="1"/>
  <c r="B23" i="1"/>
  <c r="E23" i="1" s="1"/>
  <c r="K15" i="1"/>
  <c r="J15" i="1"/>
  <c r="H15" i="1"/>
  <c r="Q25" i="1"/>
  <c r="M25" i="1"/>
  <c r="I25" i="1"/>
  <c r="E25" i="1"/>
  <c r="Q24" i="1"/>
  <c r="M24" i="1"/>
  <c r="I24" i="1"/>
  <c r="E24" i="1"/>
  <c r="R24" i="1" s="1"/>
  <c r="I57" i="1"/>
  <c r="I56" i="1"/>
  <c r="I52" i="1"/>
  <c r="E57" i="1"/>
  <c r="R57" i="1" s="1"/>
  <c r="E52" i="1"/>
  <c r="Q28" i="1"/>
  <c r="M28" i="1"/>
  <c r="I28" i="1"/>
  <c r="E28" i="1"/>
  <c r="Q20" i="1"/>
  <c r="M20" i="1"/>
  <c r="I20" i="1"/>
  <c r="E20" i="1"/>
  <c r="R20" i="1" s="1"/>
  <c r="P21" i="1"/>
  <c r="F55" i="1"/>
  <c r="D55" i="1"/>
  <c r="C55" i="1"/>
  <c r="B55" i="1"/>
  <c r="B56" i="1"/>
  <c r="E56" i="1" s="1"/>
  <c r="R56" i="1" s="1"/>
  <c r="P27" i="1"/>
  <c r="Q27" i="1" s="1"/>
  <c r="R27" i="1" s="1"/>
  <c r="P26" i="1"/>
  <c r="O26" i="1"/>
  <c r="N29" i="1"/>
  <c r="N26" i="1"/>
  <c r="L29" i="1"/>
  <c r="L26" i="1"/>
  <c r="K29" i="1"/>
  <c r="K26" i="1"/>
  <c r="J29" i="1"/>
  <c r="J26" i="1"/>
  <c r="H26" i="1"/>
  <c r="G29" i="1"/>
  <c r="G26" i="1"/>
  <c r="F26" i="1"/>
  <c r="D29" i="1"/>
  <c r="D26" i="1"/>
  <c r="C26" i="1"/>
  <c r="R9" i="1" l="1"/>
  <c r="R11" i="1" s="1"/>
  <c r="R52" i="1"/>
  <c r="I23" i="1"/>
  <c r="E53" i="1"/>
  <c r="R53" i="1" s="1"/>
  <c r="R28" i="1"/>
  <c r="M23" i="1"/>
  <c r="R23" i="1" s="1"/>
  <c r="R25" i="1"/>
  <c r="R54" i="1"/>
  <c r="B26" i="1"/>
  <c r="Q58" i="1" l="1"/>
  <c r="Q55" i="1"/>
  <c r="Q51" i="1"/>
  <c r="Q49" i="1"/>
  <c r="Q48" i="1"/>
  <c r="Q47" i="1"/>
  <c r="Q46" i="1"/>
  <c r="M58" i="1"/>
  <c r="M55" i="1"/>
  <c r="M51" i="1"/>
  <c r="M49" i="1"/>
  <c r="M48" i="1"/>
  <c r="M47" i="1"/>
  <c r="M46" i="1"/>
  <c r="I58" i="1"/>
  <c r="I55" i="1"/>
  <c r="I51" i="1"/>
  <c r="I49" i="1"/>
  <c r="I48" i="1"/>
  <c r="I47" i="1"/>
  <c r="I46" i="1"/>
  <c r="E58" i="1"/>
  <c r="E55" i="1"/>
  <c r="E51" i="1"/>
  <c r="E49" i="1"/>
  <c r="R49" i="1" s="1"/>
  <c r="E48" i="1"/>
  <c r="E47" i="1"/>
  <c r="E46" i="1"/>
  <c r="Q29" i="1"/>
  <c r="Q26" i="1"/>
  <c r="Q22" i="1"/>
  <c r="Q21" i="1"/>
  <c r="Q19" i="1"/>
  <c r="Q18" i="1"/>
  <c r="Q17" i="1"/>
  <c r="Q16" i="1"/>
  <c r="Q15" i="1"/>
  <c r="Q14" i="1"/>
  <c r="Q13" i="1"/>
  <c r="Q12" i="1"/>
  <c r="M29" i="1"/>
  <c r="M26" i="1"/>
  <c r="M22" i="1"/>
  <c r="M21" i="1"/>
  <c r="M19" i="1"/>
  <c r="M18" i="1"/>
  <c r="M17" i="1"/>
  <c r="M16" i="1"/>
  <c r="M15" i="1"/>
  <c r="M14" i="1"/>
  <c r="M13" i="1"/>
  <c r="M12" i="1"/>
  <c r="I29" i="1"/>
  <c r="I26" i="1"/>
  <c r="I22" i="1"/>
  <c r="I21" i="1"/>
  <c r="I19" i="1"/>
  <c r="I18" i="1"/>
  <c r="I17" i="1"/>
  <c r="I16" i="1"/>
  <c r="I15" i="1"/>
  <c r="I14" i="1"/>
  <c r="I13" i="1"/>
  <c r="I12" i="1"/>
  <c r="E29" i="1"/>
  <c r="R29" i="1" s="1"/>
  <c r="E26" i="1"/>
  <c r="E22" i="1"/>
  <c r="E21" i="1"/>
  <c r="E19" i="1"/>
  <c r="E18" i="1"/>
  <c r="R18" i="1" s="1"/>
  <c r="E17" i="1"/>
  <c r="E16" i="1"/>
  <c r="E15" i="1"/>
  <c r="R15" i="1" s="1"/>
  <c r="E14" i="1"/>
  <c r="E13" i="1"/>
  <c r="R58" i="1" l="1"/>
  <c r="R55" i="1"/>
  <c r="R21" i="1"/>
  <c r="R46" i="1"/>
  <c r="R47" i="1"/>
  <c r="R14" i="1"/>
  <c r="R26" i="1"/>
  <c r="R48" i="1"/>
  <c r="R51" i="1"/>
  <c r="R22" i="1"/>
  <c r="Q8" i="1"/>
  <c r="E12" i="1"/>
  <c r="E5" i="1"/>
  <c r="R59" i="1" l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P45" i="1"/>
  <c r="O45" i="1"/>
  <c r="N45" i="1"/>
  <c r="N62" i="1" s="1"/>
  <c r="L45" i="1"/>
  <c r="K45" i="1"/>
  <c r="J45" i="1"/>
  <c r="H45" i="1"/>
  <c r="G45" i="1"/>
  <c r="F45" i="1"/>
  <c r="D45" i="1"/>
  <c r="C45" i="1"/>
  <c r="B45" i="1"/>
  <c r="Q44" i="1"/>
  <c r="M44" i="1"/>
  <c r="I44" i="1"/>
  <c r="E44" i="1"/>
  <c r="R44" i="1" s="1"/>
  <c r="Q43" i="1"/>
  <c r="M43" i="1"/>
  <c r="I43" i="1"/>
  <c r="E43" i="1"/>
  <c r="Q42" i="1"/>
  <c r="M42" i="1"/>
  <c r="I42" i="1"/>
  <c r="E42" i="1"/>
  <c r="R42" i="1" s="1"/>
  <c r="Q41" i="1"/>
  <c r="M41" i="1"/>
  <c r="I41" i="1"/>
  <c r="E41" i="1"/>
  <c r="Q40" i="1"/>
  <c r="M40" i="1"/>
  <c r="I40" i="1"/>
  <c r="E40" i="1"/>
  <c r="R40" i="1" s="1"/>
  <c r="Q39" i="1"/>
  <c r="M39" i="1"/>
  <c r="I39" i="1"/>
  <c r="E39" i="1"/>
  <c r="Q30" i="1"/>
  <c r="R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B30" i="1"/>
  <c r="Q10" i="1"/>
  <c r="Q7" i="1"/>
  <c r="Q6" i="1"/>
  <c r="Q5" i="1"/>
  <c r="Q4" i="1"/>
  <c r="Q3" i="1"/>
  <c r="P11" i="1"/>
  <c r="O11" i="1"/>
  <c r="N11" i="1"/>
  <c r="M10" i="1"/>
  <c r="M7" i="1"/>
  <c r="M6" i="1"/>
  <c r="M5" i="1"/>
  <c r="M4" i="1"/>
  <c r="M3" i="1"/>
  <c r="L11" i="1"/>
  <c r="K11" i="1"/>
  <c r="J11" i="1"/>
  <c r="I10" i="1"/>
  <c r="I7" i="1"/>
  <c r="I6" i="1"/>
  <c r="I5" i="1"/>
  <c r="I4" i="1"/>
  <c r="I3" i="1"/>
  <c r="H11" i="1"/>
  <c r="G11" i="1"/>
  <c r="F11" i="1"/>
  <c r="E10" i="1"/>
  <c r="E7" i="1"/>
  <c r="E6" i="1"/>
  <c r="E4" i="1"/>
  <c r="E3" i="1"/>
  <c r="D11" i="1"/>
  <c r="C11" i="1"/>
  <c r="B11" i="1"/>
  <c r="K62" i="1" l="1"/>
  <c r="R39" i="1"/>
  <c r="R45" i="1" s="1"/>
  <c r="R62" i="1" s="1"/>
  <c r="R41" i="1"/>
  <c r="R43" i="1"/>
  <c r="L62" i="1"/>
  <c r="J62" i="1"/>
  <c r="I45" i="1"/>
  <c r="M45" i="1"/>
  <c r="O62" i="1"/>
  <c r="O66" i="1" s="1"/>
  <c r="Q45" i="1"/>
  <c r="H62" i="1"/>
  <c r="P62" i="1"/>
  <c r="G62" i="1"/>
  <c r="F62" i="1"/>
  <c r="Q62" i="1"/>
  <c r="M62" i="1"/>
  <c r="I62" i="1"/>
  <c r="D62" i="1"/>
  <c r="C62" i="1"/>
  <c r="B62" i="1"/>
  <c r="E45" i="1"/>
  <c r="E62" i="1" s="1"/>
  <c r="G33" i="1"/>
  <c r="G66" i="1" s="1"/>
  <c r="H33" i="1"/>
  <c r="H66" i="1" s="1"/>
  <c r="R33" i="1"/>
  <c r="P33" i="1"/>
  <c r="P66" i="1" s="1"/>
  <c r="O33" i="1"/>
  <c r="N33" i="1"/>
  <c r="N66" i="1" s="1"/>
  <c r="L33" i="1"/>
  <c r="L66" i="1" s="1"/>
  <c r="K33" i="1"/>
  <c r="J33" i="1"/>
  <c r="J66" i="1" s="1"/>
  <c r="F33" i="1"/>
  <c r="D33" i="1"/>
  <c r="C33" i="1"/>
  <c r="B33" i="1"/>
  <c r="Q11" i="1"/>
  <c r="Q33" i="1" s="1"/>
  <c r="M11" i="1"/>
  <c r="M33" i="1" s="1"/>
  <c r="I11" i="1"/>
  <c r="I33" i="1" s="1"/>
  <c r="E11" i="1"/>
  <c r="E33" i="1" s="1"/>
  <c r="I66" i="1" l="1"/>
  <c r="M66" i="1"/>
  <c r="K66" i="1"/>
  <c r="Q66" i="1"/>
  <c r="F66" i="1"/>
  <c r="R66" i="1"/>
  <c r="B66" i="1"/>
  <c r="D66" i="1"/>
  <c r="C66" i="1"/>
  <c r="E66" i="1"/>
</calcChain>
</file>

<file path=xl/sharedStrings.xml><?xml version="1.0" encoding="utf-8"?>
<sst xmlns="http://schemas.openxmlformats.org/spreadsheetml/2006/main" count="87" uniqueCount="53">
  <si>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</si>
  <si>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</si>
  <si>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</si>
  <si>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</si>
  <si>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</si>
  <si>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</si>
  <si>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</si>
  <si>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</si>
  <si>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</si>
  <si>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</si>
  <si>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</si>
  <si>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</si>
  <si>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Balance neto (Ingreso - Gasto)</t>
  </si>
  <si>
    <t>Nóminas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</si>
  <si>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</si>
  <si>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</si>
  <si>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</si>
  <si>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</si>
  <si>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</si>
  <si>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</si>
  <si>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</si>
  <si>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</si>
  <si>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TOTAL ANUAL</t>
  </si>
  <si>
    <t>DIFERENCIA ENTRE AÑOS 2020-2019</t>
  </si>
  <si>
    <t>Gasto pago Vicente</t>
  </si>
  <si>
    <t>Gasto alquiler máquinas</t>
  </si>
  <si>
    <t xml:space="preserve">Gasto compra sombreros </t>
  </si>
  <si>
    <t>Gasto  actores vt</t>
  </si>
  <si>
    <t>Gasto compra guias/folletos</t>
  </si>
  <si>
    <t>Gasto Avirato gestión hostal</t>
  </si>
  <si>
    <t>Ingreso Hostal</t>
  </si>
  <si>
    <t>Ingreso Muralla</t>
  </si>
  <si>
    <t>Ingreso Visitas guiadas</t>
  </si>
  <si>
    <t>Ingreso Visitas máquinas</t>
  </si>
  <si>
    <t>Ingreso Visitas teatralizadas</t>
  </si>
  <si>
    <t>Gasto correos, ferreteria,papel</t>
  </si>
  <si>
    <t>Gasto correos, ferreteria,papelería</t>
  </si>
  <si>
    <t>Gasto compra muebles oficina</t>
  </si>
  <si>
    <t>Gasto lavandería</t>
  </si>
  <si>
    <t>Gasto compra amenities</t>
  </si>
  <si>
    <t>IngreVenta postal,poster, sombrero</t>
  </si>
  <si>
    <t>Gasto compra cajas contraseña llave</t>
  </si>
  <si>
    <t>Ingre venta postal, poster, sombrer</t>
  </si>
  <si>
    <t>Alquiler Hostal Fundacion</t>
  </si>
  <si>
    <t>Vigilantes Mercado navideño</t>
  </si>
  <si>
    <t>Seguros Sociales</t>
  </si>
  <si>
    <t>Vigilantes Mercado Navideño</t>
  </si>
  <si>
    <t>LUZ JJ</t>
  </si>
  <si>
    <t>GAS JJ</t>
  </si>
  <si>
    <t>AGUA JJ</t>
  </si>
  <si>
    <t>ALQUILER TABERNA TEO</t>
  </si>
  <si>
    <t>COMPRA IMPRESORA</t>
  </si>
  <si>
    <t>TURISMO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</si>
</sst>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7" borderId="1" xfId="0" applyNumberFormat="1" applyFill="1" applyBorder="1"/>
    <xf numFmtId="4" fontId="0" fillId="7" borderId="3" xfId="0" applyNumberFormat="1" applyFill="1" applyBorder="1"/>
    <xf numFmtId="4" fontId="0" fillId="0" borderId="0" xfId="0" applyNumberFormat="1"/>
    <xf numFmtId="4" fontId="0" fillId="8" borderId="1" xfId="0" applyNumberFormat="1" applyFill="1" applyBorder="1"/>
    <xf numFmtId="0" fontId="0" fillId="6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workbookViewId="0">
      <selection sqref="A1:Q1"/>
    </sheetView>
  </sheetViews>
  <sheetFormatPr baseColWidth="10" defaultRowHeight="15" x14ac:dyDescent="0.25"/>
  <cols>
    <col min="1" max="1" width="32.7109375" bestFit="1" customWidth="1"/>
    <col min="2" max="2" width="8.85546875" bestFit="1" customWidth="1"/>
    <col min="5" max="5" width="14.140625" bestFit="1" customWidth="1"/>
    <col min="9" max="9" width="13.140625" bestFit="1" customWidth="1"/>
    <col min="13" max="13" width="13.140625" bestFit="1" customWidth="1"/>
    <col min="17" max="17" width="13.140625" bestFit="1" customWidth="1"/>
    <col min="18" max="18" width="13.28515625" bestFit="1" customWidth="1"/>
  </cols>
  <sheetData>
    <row r="1" spans="1:18" x14ac:dyDescent="0.2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9"/>
    </row>
    <row r="2" spans="1:18" x14ac:dyDescent="0.25">
      <c r="A2" s="1"/>
      <c r="B2" s="2" t="s">
        <v>0</v>
      </c>
      <c r="C2" s="2" t="s">
        <v>1</v>
      </c>
      <c r="D2" s="2" t="s">
        <v>2</v>
      </c>
      <c r="E2" s="3" t="s">
        <v>19</v>
      </c>
      <c r="F2" s="2" t="s">
        <v>3</v>
      </c>
      <c r="G2" s="2" t="s">
        <v>4</v>
      </c>
      <c r="H2" s="2" t="s">
        <v>5</v>
      </c>
      <c r="I2" s="3" t="s">
        <v>16</v>
      </c>
      <c r="J2" s="2" t="s">
        <v>6</v>
      </c>
      <c r="K2" s="2" t="s">
        <v>7</v>
      </c>
      <c r="L2" s="2" t="s">
        <v>8</v>
      </c>
      <c r="M2" s="3" t="s">
        <v>17</v>
      </c>
      <c r="N2" s="2" t="s">
        <v>9</v>
      </c>
      <c r="O2" s="2" t="s">
        <v>10</v>
      </c>
      <c r="P2" s="2" t="s">
        <v>11</v>
      </c>
      <c r="Q2" s="7" t="s">
        <v>18</v>
      </c>
      <c r="R2" s="8" t="s">
        <v>22</v>
      </c>
    </row>
    <row r="3" spans="1:18" x14ac:dyDescent="0.25">
      <c r="A3" s="1" t="s">
        <v>30</v>
      </c>
      <c r="B3" s="12">
        <v>67.5</v>
      </c>
      <c r="C3" s="12">
        <v>2870</v>
      </c>
      <c r="D3" s="12">
        <v>1463</v>
      </c>
      <c r="E3" s="13">
        <f t="shared" ref="E3:E10" si="0">SUM(B3:D3)</f>
        <v>4400.5</v>
      </c>
      <c r="F3" s="12">
        <v>1330</v>
      </c>
      <c r="G3" s="12">
        <v>1372</v>
      </c>
      <c r="H3" s="12">
        <v>837</v>
      </c>
      <c r="I3" s="13">
        <f t="shared" ref="I3:I10" si="1">SUM(F3:H3)</f>
        <v>3539</v>
      </c>
      <c r="J3" s="12">
        <v>88</v>
      </c>
      <c r="K3" s="12">
        <v>937</v>
      </c>
      <c r="L3" s="12">
        <v>225</v>
      </c>
      <c r="M3" s="13">
        <f t="shared" ref="M3:M10" si="2">SUM(J3:L3)</f>
        <v>1250</v>
      </c>
      <c r="N3" s="12">
        <v>400</v>
      </c>
      <c r="O3" s="12">
        <v>290</v>
      </c>
      <c r="P3" s="12">
        <v>995</v>
      </c>
      <c r="Q3" s="14">
        <f t="shared" ref="Q3:Q10" si="3">SUM(N3:P3)</f>
        <v>1685</v>
      </c>
      <c r="R3" s="12">
        <v>10875</v>
      </c>
    </row>
    <row r="4" spans="1:18" x14ac:dyDescent="0.25">
      <c r="A4" s="1" t="s">
        <v>31</v>
      </c>
      <c r="B4" s="12">
        <v>1808</v>
      </c>
      <c r="C4" s="12">
        <v>3074</v>
      </c>
      <c r="D4" s="12">
        <v>5803</v>
      </c>
      <c r="E4" s="13">
        <f t="shared" si="0"/>
        <v>10685</v>
      </c>
      <c r="F4" s="12">
        <v>4697</v>
      </c>
      <c r="G4" s="12">
        <v>6272</v>
      </c>
      <c r="H4" s="12">
        <v>2811</v>
      </c>
      <c r="I4" s="13">
        <f t="shared" si="1"/>
        <v>13780</v>
      </c>
      <c r="J4" s="12">
        <v>2039</v>
      </c>
      <c r="K4" s="12">
        <v>4835</v>
      </c>
      <c r="L4" s="12">
        <v>2731</v>
      </c>
      <c r="M4" s="13">
        <f t="shared" si="2"/>
        <v>9605</v>
      </c>
      <c r="N4" s="12">
        <v>4207</v>
      </c>
      <c r="O4" s="12">
        <v>2918</v>
      </c>
      <c r="P4" s="12">
        <v>4587</v>
      </c>
      <c r="Q4" s="14">
        <f t="shared" si="3"/>
        <v>11712</v>
      </c>
      <c r="R4" s="12">
        <v>45782</v>
      </c>
    </row>
    <row r="5" spans="1:18" x14ac:dyDescent="0.25">
      <c r="A5" s="1" t="s">
        <v>32</v>
      </c>
      <c r="B5" s="12">
        <v>0</v>
      </c>
      <c r="C5" s="12">
        <v>442</v>
      </c>
      <c r="D5" s="12">
        <v>515</v>
      </c>
      <c r="E5" s="13">
        <f>SUM(B5:D5)</f>
        <v>957</v>
      </c>
      <c r="F5" s="12">
        <v>581</v>
      </c>
      <c r="G5" s="12">
        <v>1411.5</v>
      </c>
      <c r="H5" s="12">
        <v>454.5</v>
      </c>
      <c r="I5" s="13">
        <f t="shared" si="1"/>
        <v>2447</v>
      </c>
      <c r="J5" s="12">
        <v>108.5</v>
      </c>
      <c r="K5" s="12">
        <v>102</v>
      </c>
      <c r="L5" s="12">
        <v>0</v>
      </c>
      <c r="M5" s="13">
        <f t="shared" si="2"/>
        <v>210.5</v>
      </c>
      <c r="N5" s="12">
        <v>344</v>
      </c>
      <c r="O5" s="12">
        <v>520</v>
      </c>
      <c r="P5" s="12">
        <v>216</v>
      </c>
      <c r="Q5" s="14">
        <f t="shared" si="3"/>
        <v>1080</v>
      </c>
      <c r="R5" s="12">
        <v>4694.5</v>
      </c>
    </row>
    <row r="6" spans="1:18" x14ac:dyDescent="0.25">
      <c r="A6" s="1" t="s">
        <v>33</v>
      </c>
      <c r="B6" s="12">
        <v>152</v>
      </c>
      <c r="C6" s="12">
        <v>689</v>
      </c>
      <c r="D6" s="12">
        <v>891</v>
      </c>
      <c r="E6" s="13">
        <f t="shared" si="0"/>
        <v>1732</v>
      </c>
      <c r="F6" s="12">
        <v>568</v>
      </c>
      <c r="G6" s="12">
        <v>1110</v>
      </c>
      <c r="H6" s="12">
        <v>478</v>
      </c>
      <c r="I6" s="13">
        <f t="shared" si="1"/>
        <v>2156</v>
      </c>
      <c r="J6" s="12">
        <v>626</v>
      </c>
      <c r="K6" s="12">
        <v>597</v>
      </c>
      <c r="L6" s="12">
        <v>124</v>
      </c>
      <c r="M6" s="13">
        <f t="shared" si="2"/>
        <v>1347</v>
      </c>
      <c r="N6" s="12">
        <v>282</v>
      </c>
      <c r="O6" s="12">
        <v>922</v>
      </c>
      <c r="P6" s="12">
        <v>884</v>
      </c>
      <c r="Q6" s="14">
        <f t="shared" si="3"/>
        <v>2088</v>
      </c>
      <c r="R6" s="12">
        <v>7323</v>
      </c>
    </row>
    <row r="7" spans="1:18" x14ac:dyDescent="0.25">
      <c r="A7" s="1" t="s">
        <v>34</v>
      </c>
      <c r="B7" s="12">
        <v>0</v>
      </c>
      <c r="C7" s="12"/>
      <c r="D7" s="12"/>
      <c r="E7" s="13">
        <f t="shared" si="0"/>
        <v>0</v>
      </c>
      <c r="F7" s="12"/>
      <c r="G7" s="12">
        <v>180</v>
      </c>
      <c r="H7" s="12">
        <v>364</v>
      </c>
      <c r="I7" s="13">
        <f t="shared" si="1"/>
        <v>544</v>
      </c>
      <c r="J7" s="12"/>
      <c r="K7" s="12"/>
      <c r="L7" s="12"/>
      <c r="M7" s="13">
        <f t="shared" si="2"/>
        <v>0</v>
      </c>
      <c r="N7" s="12">
        <v>14</v>
      </c>
      <c r="O7" s="12">
        <v>672</v>
      </c>
      <c r="P7" s="12"/>
      <c r="Q7" s="14">
        <f t="shared" si="3"/>
        <v>686</v>
      </c>
      <c r="R7" s="12">
        <v>1230</v>
      </c>
    </row>
    <row r="8" spans="1:18" x14ac:dyDescent="0.25">
      <c r="A8" s="1" t="s">
        <v>40</v>
      </c>
      <c r="B8" s="12"/>
      <c r="C8" s="12"/>
      <c r="D8" s="12"/>
      <c r="E8" s="13"/>
      <c r="F8" s="12"/>
      <c r="G8" s="12"/>
      <c r="H8" s="12"/>
      <c r="I8" s="13"/>
      <c r="J8" s="12">
        <v>88</v>
      </c>
      <c r="K8" s="12"/>
      <c r="L8" s="12"/>
      <c r="M8" s="13"/>
      <c r="N8" s="12">
        <v>70</v>
      </c>
      <c r="O8" s="12">
        <v>2</v>
      </c>
      <c r="P8" s="12">
        <v>2</v>
      </c>
      <c r="Q8" s="14">
        <f t="shared" si="3"/>
        <v>74</v>
      </c>
      <c r="R8" s="12">
        <v>162</v>
      </c>
    </row>
    <row r="9" spans="1:18" x14ac:dyDescent="0.25">
      <c r="A9" s="1" t="s">
        <v>50</v>
      </c>
      <c r="B9" s="12"/>
      <c r="C9" s="12">
        <v>800</v>
      </c>
      <c r="D9" s="12">
        <v>800</v>
      </c>
      <c r="E9" s="13">
        <f>SUM(B9:D9)</f>
        <v>1600</v>
      </c>
      <c r="F9" s="12"/>
      <c r="G9" s="12">
        <v>800</v>
      </c>
      <c r="H9" s="12">
        <v>800</v>
      </c>
      <c r="I9" s="13">
        <f>SUM(F9:H9)</f>
        <v>1600</v>
      </c>
      <c r="J9" s="12">
        <v>800</v>
      </c>
      <c r="K9" s="12">
        <v>1500</v>
      </c>
      <c r="L9" s="12">
        <v>1500</v>
      </c>
      <c r="M9" s="13">
        <f>SUM(J9:L9)</f>
        <v>3800</v>
      </c>
      <c r="N9" s="12">
        <v>1500</v>
      </c>
      <c r="O9" s="12"/>
      <c r="P9" s="12"/>
      <c r="Q9" s="14">
        <f>SUM(N9:P9)</f>
        <v>1500</v>
      </c>
      <c r="R9" s="12">
        <f>+E9+I9+M9+Q9</f>
        <v>8500</v>
      </c>
    </row>
    <row r="10" spans="1:18" x14ac:dyDescent="0.25">
      <c r="A10" s="1" t="s">
        <v>15</v>
      </c>
      <c r="B10" s="12"/>
      <c r="C10" s="12"/>
      <c r="D10" s="12"/>
      <c r="E10" s="13">
        <f t="shared" si="0"/>
        <v>0</v>
      </c>
      <c r="F10" s="12"/>
      <c r="G10" s="12"/>
      <c r="H10" s="12"/>
      <c r="I10" s="13">
        <f t="shared" si="1"/>
        <v>0</v>
      </c>
      <c r="J10" s="12"/>
      <c r="K10" s="12"/>
      <c r="L10" s="12"/>
      <c r="M10" s="13">
        <f t="shared" si="2"/>
        <v>0</v>
      </c>
      <c r="N10" s="12"/>
      <c r="O10" s="12"/>
      <c r="P10" s="12"/>
      <c r="Q10" s="14">
        <f t="shared" si="3"/>
        <v>0</v>
      </c>
      <c r="R10" s="12"/>
    </row>
    <row r="11" spans="1:18" x14ac:dyDescent="0.25">
      <c r="A11" s="4" t="s">
        <v>20</v>
      </c>
      <c r="B11" s="15">
        <f t="shared" ref="B11:Q11" si="4">SUM(B3:B10)</f>
        <v>2027.5</v>
      </c>
      <c r="C11" s="15">
        <f t="shared" si="4"/>
        <v>7875</v>
      </c>
      <c r="D11" s="15">
        <f t="shared" si="4"/>
        <v>9472</v>
      </c>
      <c r="E11" s="15">
        <f t="shared" si="4"/>
        <v>19374.5</v>
      </c>
      <c r="F11" s="15">
        <f t="shared" si="4"/>
        <v>7176</v>
      </c>
      <c r="G11" s="15">
        <f t="shared" si="4"/>
        <v>11145.5</v>
      </c>
      <c r="H11" s="15">
        <f t="shared" si="4"/>
        <v>5744.5</v>
      </c>
      <c r="I11" s="15">
        <f t="shared" si="4"/>
        <v>24066</v>
      </c>
      <c r="J11" s="15">
        <f t="shared" si="4"/>
        <v>3749.5</v>
      </c>
      <c r="K11" s="15">
        <f t="shared" si="4"/>
        <v>7971</v>
      </c>
      <c r="L11" s="15">
        <f t="shared" si="4"/>
        <v>4580</v>
      </c>
      <c r="M11" s="15">
        <f t="shared" si="4"/>
        <v>16212.5</v>
      </c>
      <c r="N11" s="15">
        <f t="shared" si="4"/>
        <v>6817</v>
      </c>
      <c r="O11" s="15">
        <f t="shared" si="4"/>
        <v>5324</v>
      </c>
      <c r="P11" s="15">
        <f t="shared" si="4"/>
        <v>6684</v>
      </c>
      <c r="Q11" s="16">
        <f t="shared" si="4"/>
        <v>18825</v>
      </c>
      <c r="R11" s="15">
        <f>SUM(R3:R10)</f>
        <v>78566.5</v>
      </c>
    </row>
    <row r="12" spans="1:18" x14ac:dyDescent="0.25">
      <c r="A12" s="1" t="s">
        <v>24</v>
      </c>
      <c r="B12" s="12">
        <v>85.5</v>
      </c>
      <c r="C12" s="12">
        <v>438.5</v>
      </c>
      <c r="D12" s="12">
        <v>570</v>
      </c>
      <c r="E12" s="13">
        <f t="shared" ref="E12:E29" si="5">SUM(B12:D12)</f>
        <v>1094</v>
      </c>
      <c r="F12" s="12">
        <v>348</v>
      </c>
      <c r="G12" s="12">
        <v>745</v>
      </c>
      <c r="H12" s="12">
        <v>303</v>
      </c>
      <c r="I12" s="13">
        <f t="shared" ref="I12:I29" si="6">SUM(F12:H12)</f>
        <v>1396</v>
      </c>
      <c r="J12" s="12">
        <v>396</v>
      </c>
      <c r="K12" s="12">
        <v>352.5</v>
      </c>
      <c r="L12" s="12">
        <v>82.5</v>
      </c>
      <c r="M12" s="13">
        <f t="shared" ref="M12:M29" si="7">SUM(J12:L12)</f>
        <v>831</v>
      </c>
      <c r="N12" s="12">
        <v>151.5</v>
      </c>
      <c r="O12" s="12">
        <v>587</v>
      </c>
      <c r="P12" s="12">
        <v>563</v>
      </c>
      <c r="Q12" s="14">
        <f t="shared" ref="Q12:Q29" si="8">SUM(N12:P12)</f>
        <v>1301.5</v>
      </c>
      <c r="R12" s="12">
        <v>4622.5</v>
      </c>
    </row>
    <row r="13" spans="1:18" x14ac:dyDescent="0.25">
      <c r="A13" s="1" t="s">
        <v>35</v>
      </c>
      <c r="B13" s="12">
        <v>6.3</v>
      </c>
      <c r="C13" s="12">
        <v>14.8</v>
      </c>
      <c r="D13" s="12">
        <v>27</v>
      </c>
      <c r="E13" s="13">
        <f t="shared" si="5"/>
        <v>48.1</v>
      </c>
      <c r="F13" s="12">
        <v>8</v>
      </c>
      <c r="G13" s="12">
        <v>34.799999999999997</v>
      </c>
      <c r="H13" s="12">
        <v>8</v>
      </c>
      <c r="I13" s="13">
        <f t="shared" si="6"/>
        <v>50.8</v>
      </c>
      <c r="J13" s="12">
        <v>20</v>
      </c>
      <c r="K13" s="12">
        <v>11.15</v>
      </c>
      <c r="L13" s="12">
        <v>1.1000000000000001</v>
      </c>
      <c r="M13" s="13">
        <f t="shared" si="7"/>
        <v>32.25</v>
      </c>
      <c r="N13" s="12">
        <v>39.200000000000003</v>
      </c>
      <c r="O13" s="12">
        <v>26</v>
      </c>
      <c r="P13" s="12">
        <v>11.9</v>
      </c>
      <c r="Q13" s="14">
        <f t="shared" si="8"/>
        <v>77.100000000000009</v>
      </c>
      <c r="R13" s="12">
        <v>208.5</v>
      </c>
    </row>
    <row r="14" spans="1:18" x14ac:dyDescent="0.25">
      <c r="A14" s="1" t="s">
        <v>29</v>
      </c>
      <c r="B14" s="12">
        <v>59.29</v>
      </c>
      <c r="C14" s="12">
        <v>59.29</v>
      </c>
      <c r="D14" s="12">
        <v>59.29</v>
      </c>
      <c r="E14" s="13">
        <f t="shared" si="5"/>
        <v>177.87</v>
      </c>
      <c r="F14" s="12">
        <v>59.29</v>
      </c>
      <c r="G14" s="12">
        <v>59.29</v>
      </c>
      <c r="H14" s="12">
        <v>59.29</v>
      </c>
      <c r="I14" s="13">
        <f t="shared" si="6"/>
        <v>177.87</v>
      </c>
      <c r="J14" s="12">
        <v>59.29</v>
      </c>
      <c r="K14" s="12">
        <v>59.29</v>
      </c>
      <c r="L14" s="12">
        <v>59.29</v>
      </c>
      <c r="M14" s="13">
        <f t="shared" si="7"/>
        <v>177.87</v>
      </c>
      <c r="N14" s="12">
        <v>59.29</v>
      </c>
      <c r="O14" s="12">
        <v>59.29</v>
      </c>
      <c r="P14" s="12">
        <v>59.29</v>
      </c>
      <c r="Q14" s="14">
        <f t="shared" si="8"/>
        <v>177.87</v>
      </c>
      <c r="R14" s="12">
        <f>+E14+I14+M14+Q14</f>
        <v>711.48</v>
      </c>
    </row>
    <row r="15" spans="1:18" x14ac:dyDescent="0.25">
      <c r="A15" s="1" t="s">
        <v>38</v>
      </c>
      <c r="B15" s="12">
        <v>64.489999999999995</v>
      </c>
      <c r="C15" s="12">
        <v>105.46</v>
      </c>
      <c r="D15" s="12">
        <v>125.67</v>
      </c>
      <c r="E15" s="13">
        <f t="shared" si="5"/>
        <v>295.62</v>
      </c>
      <c r="F15" s="12">
        <v>363</v>
      </c>
      <c r="G15" s="12">
        <v>204.45</v>
      </c>
      <c r="H15" s="12">
        <f>81.95+52.88+61.23+60.39+77.23</f>
        <v>333.68</v>
      </c>
      <c r="I15" s="13">
        <f t="shared" si="6"/>
        <v>901.13000000000011</v>
      </c>
      <c r="J15" s="12">
        <f>24.15+107.46+15.31+23.29</f>
        <v>170.20999999999998</v>
      </c>
      <c r="K15" s="12">
        <f>137.27+68.03</f>
        <v>205.3</v>
      </c>
      <c r="L15" s="12">
        <v>190.98</v>
      </c>
      <c r="M15" s="13">
        <f t="shared" si="7"/>
        <v>566.49</v>
      </c>
      <c r="N15" s="12">
        <v>149.68</v>
      </c>
      <c r="O15" s="12">
        <v>113.03</v>
      </c>
      <c r="P15" s="12">
        <v>167.71</v>
      </c>
      <c r="Q15" s="14">
        <f t="shared" si="8"/>
        <v>430.42000000000007</v>
      </c>
      <c r="R15" s="12">
        <f>+E15+I15+M15+Q15</f>
        <v>2193.66</v>
      </c>
    </row>
    <row r="16" spans="1:18" x14ac:dyDescent="0.25">
      <c r="A16" s="1" t="s">
        <v>39</v>
      </c>
      <c r="B16" s="12"/>
      <c r="C16" s="12"/>
      <c r="D16" s="12"/>
      <c r="E16" s="13">
        <f t="shared" si="5"/>
        <v>0</v>
      </c>
      <c r="F16" s="12"/>
      <c r="G16" s="12"/>
      <c r="H16" s="12"/>
      <c r="I16" s="13">
        <f t="shared" si="6"/>
        <v>0</v>
      </c>
      <c r="J16" s="12"/>
      <c r="K16" s="12"/>
      <c r="L16" s="12"/>
      <c r="M16" s="13">
        <f t="shared" si="7"/>
        <v>0</v>
      </c>
      <c r="N16" s="12"/>
      <c r="O16" s="12"/>
      <c r="P16" s="12"/>
      <c r="Q16" s="14">
        <f t="shared" si="8"/>
        <v>0</v>
      </c>
      <c r="R16" s="12"/>
    </row>
    <row r="17" spans="1:18" x14ac:dyDescent="0.25">
      <c r="A17" s="1" t="s">
        <v>41</v>
      </c>
      <c r="B17" s="12"/>
      <c r="C17" s="12"/>
      <c r="D17" s="12"/>
      <c r="E17" s="13">
        <f t="shared" si="5"/>
        <v>0</v>
      </c>
      <c r="F17" s="12"/>
      <c r="G17" s="12"/>
      <c r="H17" s="12"/>
      <c r="I17" s="13">
        <f t="shared" si="6"/>
        <v>0</v>
      </c>
      <c r="J17" s="12"/>
      <c r="K17" s="12"/>
      <c r="L17" s="12"/>
      <c r="M17" s="13">
        <f t="shared" si="7"/>
        <v>0</v>
      </c>
      <c r="N17" s="12"/>
      <c r="O17" s="12"/>
      <c r="P17" s="12"/>
      <c r="Q17" s="14">
        <f t="shared" si="8"/>
        <v>0</v>
      </c>
      <c r="R17" s="12"/>
    </row>
    <row r="18" spans="1:18" x14ac:dyDescent="0.25">
      <c r="A18" s="1" t="s">
        <v>25</v>
      </c>
      <c r="B18" s="12">
        <v>726</v>
      </c>
      <c r="C18" s="12">
        <v>726</v>
      </c>
      <c r="D18" s="12">
        <v>726</v>
      </c>
      <c r="E18" s="13">
        <f t="shared" si="5"/>
        <v>2178</v>
      </c>
      <c r="F18" s="12">
        <v>726</v>
      </c>
      <c r="G18" s="12">
        <v>726</v>
      </c>
      <c r="H18" s="12">
        <v>726</v>
      </c>
      <c r="I18" s="13">
        <f t="shared" si="6"/>
        <v>2178</v>
      </c>
      <c r="J18" s="12">
        <v>726</v>
      </c>
      <c r="K18" s="12">
        <v>726</v>
      </c>
      <c r="L18" s="12">
        <v>726</v>
      </c>
      <c r="M18" s="13">
        <f t="shared" si="7"/>
        <v>2178</v>
      </c>
      <c r="N18" s="12">
        <v>726</v>
      </c>
      <c r="O18" s="12">
        <v>726</v>
      </c>
      <c r="P18" s="12">
        <v>726</v>
      </c>
      <c r="Q18" s="14">
        <f t="shared" si="8"/>
        <v>2178</v>
      </c>
      <c r="R18" s="12">
        <f>+E18+I18+M18+Q18</f>
        <v>8712</v>
      </c>
    </row>
    <row r="19" spans="1:18" x14ac:dyDescent="0.25">
      <c r="A19" s="1" t="s">
        <v>26</v>
      </c>
      <c r="B19" s="12"/>
      <c r="C19" s="12"/>
      <c r="D19" s="12"/>
      <c r="E19" s="13">
        <f t="shared" si="5"/>
        <v>0</v>
      </c>
      <c r="F19" s="12"/>
      <c r="G19" s="12"/>
      <c r="H19" s="12"/>
      <c r="I19" s="13">
        <f t="shared" si="6"/>
        <v>0</v>
      </c>
      <c r="J19" s="12"/>
      <c r="K19" s="12"/>
      <c r="L19" s="12"/>
      <c r="M19" s="13">
        <f t="shared" si="7"/>
        <v>0</v>
      </c>
      <c r="N19" s="12"/>
      <c r="O19" s="12"/>
      <c r="P19" s="12"/>
      <c r="Q19" s="14">
        <f t="shared" si="8"/>
        <v>0</v>
      </c>
      <c r="R19" s="12"/>
    </row>
    <row r="20" spans="1:18" x14ac:dyDescent="0.25">
      <c r="A20" s="1" t="s">
        <v>43</v>
      </c>
      <c r="B20" s="12">
        <v>1294.0999999999999</v>
      </c>
      <c r="C20" s="12">
        <v>1294.0999999999999</v>
      </c>
      <c r="D20" s="12">
        <v>1310.92</v>
      </c>
      <c r="E20" s="13">
        <f>SUM(B20:D20)</f>
        <v>3899.12</v>
      </c>
      <c r="F20" s="12">
        <v>1310.92</v>
      </c>
      <c r="G20" s="12">
        <v>1310.92</v>
      </c>
      <c r="H20" s="12">
        <v>1310.92</v>
      </c>
      <c r="I20" s="13">
        <f>SUM(F20:H20)</f>
        <v>3932.76</v>
      </c>
      <c r="J20" s="12">
        <v>1310.92</v>
      </c>
      <c r="K20" s="12">
        <v>1310.92</v>
      </c>
      <c r="L20" s="12">
        <v>1310.92</v>
      </c>
      <c r="M20" s="13">
        <f>SUM(J20:L20)</f>
        <v>3932.76</v>
      </c>
      <c r="N20" s="12">
        <v>1310.92</v>
      </c>
      <c r="O20" s="12">
        <v>1310.92</v>
      </c>
      <c r="P20" s="12">
        <v>1310.92</v>
      </c>
      <c r="Q20" s="14">
        <f>SUM(N20:P20)</f>
        <v>3932.76</v>
      </c>
      <c r="R20" s="12">
        <f t="shared" ref="R20:R29" si="9">+E20+I20+M20+Q20</f>
        <v>15697.4</v>
      </c>
    </row>
    <row r="21" spans="1:18" x14ac:dyDescent="0.25">
      <c r="A21" s="1" t="s">
        <v>27</v>
      </c>
      <c r="B21" s="12"/>
      <c r="C21" s="12"/>
      <c r="D21" s="12"/>
      <c r="E21" s="13">
        <f t="shared" si="5"/>
        <v>0</v>
      </c>
      <c r="F21" s="12"/>
      <c r="G21" s="12"/>
      <c r="H21" s="12"/>
      <c r="I21" s="13">
        <f t="shared" si="6"/>
        <v>0</v>
      </c>
      <c r="J21" s="12"/>
      <c r="K21" s="12"/>
      <c r="L21" s="12"/>
      <c r="M21" s="13">
        <f t="shared" si="7"/>
        <v>0</v>
      </c>
      <c r="N21" s="12"/>
      <c r="O21" s="12"/>
      <c r="P21" s="12">
        <f>1089+980.1+1470.15+726+980.1</f>
        <v>5245.35</v>
      </c>
      <c r="Q21" s="14">
        <f t="shared" si="8"/>
        <v>5245.35</v>
      </c>
      <c r="R21" s="12">
        <f t="shared" si="9"/>
        <v>5245.35</v>
      </c>
    </row>
    <row r="22" spans="1:18" x14ac:dyDescent="0.25">
      <c r="A22" s="1" t="s">
        <v>28</v>
      </c>
      <c r="B22" s="12"/>
      <c r="C22" s="12"/>
      <c r="D22" s="12"/>
      <c r="E22" s="13">
        <f t="shared" si="5"/>
        <v>0</v>
      </c>
      <c r="F22" s="12">
        <v>665.5</v>
      </c>
      <c r="G22" s="12"/>
      <c r="H22" s="12"/>
      <c r="I22" s="13">
        <f t="shared" si="6"/>
        <v>665.5</v>
      </c>
      <c r="J22" s="12"/>
      <c r="K22" s="12"/>
      <c r="L22" s="12"/>
      <c r="M22" s="13">
        <f t="shared" si="7"/>
        <v>0</v>
      </c>
      <c r="N22" s="12"/>
      <c r="O22" s="12"/>
      <c r="P22" s="12">
        <v>3781.25</v>
      </c>
      <c r="Q22" s="14">
        <f t="shared" si="8"/>
        <v>3781.25</v>
      </c>
      <c r="R22" s="12">
        <f t="shared" si="9"/>
        <v>4446.75</v>
      </c>
    </row>
    <row r="23" spans="1:18" x14ac:dyDescent="0.25">
      <c r="A23" s="1" t="s">
        <v>47</v>
      </c>
      <c r="B23" s="12">
        <f>49.61+188.81</f>
        <v>238.42000000000002</v>
      </c>
      <c r="C23" s="12">
        <f>52.1+159.54</f>
        <v>211.64</v>
      </c>
      <c r="D23" s="12">
        <f>50.65+156.05</f>
        <v>206.70000000000002</v>
      </c>
      <c r="E23" s="13">
        <f>SUM(B23:D23)</f>
        <v>656.76</v>
      </c>
      <c r="F23" s="12">
        <f>49.33+137.75</f>
        <v>187.07999999999998</v>
      </c>
      <c r="G23" s="12">
        <f>45.48+122.62</f>
        <v>168.1</v>
      </c>
      <c r="H23" s="12">
        <f>38.12+178.89</f>
        <v>217.01</v>
      </c>
      <c r="I23" s="13">
        <f>SUM(F23:H23)</f>
        <v>572.18999999999994</v>
      </c>
      <c r="J23" s="12">
        <f>118.37+28.02</f>
        <v>146.39000000000001</v>
      </c>
      <c r="K23" s="12">
        <f>254.92+59.98</f>
        <v>314.89999999999998</v>
      </c>
      <c r="L23" s="12">
        <f>168.59+59.23</f>
        <v>227.82</v>
      </c>
      <c r="M23" s="13">
        <f>SUM(J23:L23)</f>
        <v>689.1099999999999</v>
      </c>
      <c r="N23" s="12">
        <f>72.54+125.22</f>
        <v>197.76</v>
      </c>
      <c r="O23" s="12">
        <f>53.02+196.99</f>
        <v>250.01000000000002</v>
      </c>
      <c r="P23" s="12">
        <v>109.88</v>
      </c>
      <c r="Q23" s="14">
        <f>SUM(N23:P23)</f>
        <v>557.65</v>
      </c>
      <c r="R23" s="12">
        <f t="shared" si="9"/>
        <v>2475.7099999999996</v>
      </c>
    </row>
    <row r="24" spans="1:18" x14ac:dyDescent="0.25">
      <c r="A24" s="1" t="s">
        <v>49</v>
      </c>
      <c r="B24" s="12"/>
      <c r="C24" s="12">
        <v>215.59</v>
      </c>
      <c r="D24" s="12"/>
      <c r="E24" s="13">
        <f>SUM(B24:D24)</f>
        <v>215.59</v>
      </c>
      <c r="F24" s="12">
        <v>175.71</v>
      </c>
      <c r="G24" s="12"/>
      <c r="H24" s="12">
        <v>221.38</v>
      </c>
      <c r="I24" s="13">
        <f>SUM(F24:H24)</f>
        <v>397.09000000000003</v>
      </c>
      <c r="J24" s="12"/>
      <c r="K24" s="12">
        <v>340.15</v>
      </c>
      <c r="L24" s="12"/>
      <c r="M24" s="13">
        <f>SUM(J24:L24)</f>
        <v>340.15</v>
      </c>
      <c r="N24" s="12">
        <v>335.94</v>
      </c>
      <c r="O24" s="12"/>
      <c r="P24" s="12">
        <v>550.52</v>
      </c>
      <c r="Q24" s="14">
        <f>SUM(N24:P24)</f>
        <v>886.46</v>
      </c>
      <c r="R24" s="12">
        <f t="shared" si="9"/>
        <v>1839.29</v>
      </c>
    </row>
    <row r="25" spans="1:18" x14ac:dyDescent="0.25">
      <c r="A25" s="1" t="s">
        <v>48</v>
      </c>
      <c r="B25" s="12"/>
      <c r="C25" s="12"/>
      <c r="D25" s="12">
        <v>2979.21</v>
      </c>
      <c r="E25" s="13">
        <f>SUM(B25:D25)</f>
        <v>2979.21</v>
      </c>
      <c r="F25" s="12"/>
      <c r="G25" s="12">
        <v>2966.77</v>
      </c>
      <c r="H25" s="12"/>
      <c r="I25" s="13">
        <f>SUM(F25:H25)</f>
        <v>2966.77</v>
      </c>
      <c r="J25" s="12"/>
      <c r="K25" s="12"/>
      <c r="L25" s="12">
        <v>2183.42</v>
      </c>
      <c r="M25" s="13">
        <f>SUM(J25:L25)</f>
        <v>2183.42</v>
      </c>
      <c r="N25" s="12"/>
      <c r="O25" s="12"/>
      <c r="P25" s="12"/>
      <c r="Q25" s="14">
        <f>SUM(N25:P25)</f>
        <v>0</v>
      </c>
      <c r="R25" s="12">
        <f t="shared" si="9"/>
        <v>8129.4</v>
      </c>
    </row>
    <row r="26" spans="1:18" x14ac:dyDescent="0.25">
      <c r="A26" s="1" t="s">
        <v>13</v>
      </c>
      <c r="B26" s="12">
        <f>1375.29+348.08+1134.57+965.1</f>
        <v>3823.0399999999995</v>
      </c>
      <c r="C26" s="12">
        <f>1375.29+823.83+171.92+965.1</f>
        <v>3336.14</v>
      </c>
      <c r="D26" s="12">
        <f>187.05+239.6+53.5+84.05+1375.29+996.81+965.1</f>
        <v>3901.3999999999996</v>
      </c>
      <c r="E26" s="13">
        <f t="shared" si="5"/>
        <v>11060.579999999998</v>
      </c>
      <c r="F26" s="12">
        <f>49.67+270.23+1375.29+1003.5+871.02+965.1</f>
        <v>4534.8100000000004</v>
      </c>
      <c r="G26" s="12">
        <f>341.02+1375.29+1036.95+2018.48+965.1</f>
        <v>5736.84</v>
      </c>
      <c r="H26" s="12">
        <f>1375.29+1003.5+965.1+365.6+1375.29+1134.58+965.1</f>
        <v>7184.46</v>
      </c>
      <c r="I26" s="13">
        <f t="shared" si="6"/>
        <v>17456.11</v>
      </c>
      <c r="J26" s="12">
        <f>1375.29+1036.95+965.1+809.65</f>
        <v>4186.99</v>
      </c>
      <c r="K26" s="12">
        <f>1375.29+1036.95+965.1+934.97</f>
        <v>4312.3099999999995</v>
      </c>
      <c r="L26" s="12">
        <f>826.8+1385.61+1009.29+969.92+740.39</f>
        <v>4932.01</v>
      </c>
      <c r="M26" s="13">
        <f t="shared" si="7"/>
        <v>13431.31</v>
      </c>
      <c r="N26" s="12">
        <f>540.79+1378.73+1036.95+965.1</f>
        <v>3921.57</v>
      </c>
      <c r="O26" s="12">
        <f>1138.31+1003.5+965.1+46.78</f>
        <v>3153.69</v>
      </c>
      <c r="P26" s="12">
        <f>1390.04+1036.95+965.1+1378.73+1159.81+965.1</f>
        <v>6895.73</v>
      </c>
      <c r="Q26" s="14">
        <f t="shared" si="8"/>
        <v>13970.99</v>
      </c>
      <c r="R26" s="12">
        <f t="shared" si="9"/>
        <v>55918.99</v>
      </c>
    </row>
    <row r="27" spans="1:18" x14ac:dyDescent="0.25">
      <c r="A27" s="1" t="s">
        <v>44</v>
      </c>
      <c r="B27" s="12"/>
      <c r="C27" s="12"/>
      <c r="D27" s="12"/>
      <c r="E27" s="13"/>
      <c r="F27" s="12"/>
      <c r="G27" s="12"/>
      <c r="H27" s="12"/>
      <c r="I27" s="13"/>
      <c r="J27" s="12"/>
      <c r="K27" s="12"/>
      <c r="L27" s="12"/>
      <c r="M27" s="13"/>
      <c r="N27" s="12"/>
      <c r="O27" s="12"/>
      <c r="P27" s="12">
        <f>515.63+308.83</f>
        <v>824.46</v>
      </c>
      <c r="Q27" s="14">
        <f>SUM(N27:P27)</f>
        <v>824.46</v>
      </c>
      <c r="R27" s="12">
        <f t="shared" si="9"/>
        <v>824.46</v>
      </c>
    </row>
    <row r="28" spans="1:18" x14ac:dyDescent="0.25">
      <c r="A28" s="1" t="s">
        <v>45</v>
      </c>
      <c r="B28" s="12">
        <v>1601.33</v>
      </c>
      <c r="C28" s="12">
        <v>1354.79</v>
      </c>
      <c r="D28" s="12">
        <v>951.73</v>
      </c>
      <c r="E28" s="13">
        <f>SUM(B28:D28)</f>
        <v>3907.85</v>
      </c>
      <c r="F28" s="12">
        <v>588.99</v>
      </c>
      <c r="G28" s="12">
        <v>1104.67</v>
      </c>
      <c r="H28" s="12">
        <v>428.04</v>
      </c>
      <c r="I28" s="13">
        <f>SUM(F28:H28)</f>
        <v>2121.7000000000003</v>
      </c>
      <c r="J28" s="12">
        <v>801.24</v>
      </c>
      <c r="K28" s="12">
        <v>949.91</v>
      </c>
      <c r="L28" s="12">
        <v>1464.58</v>
      </c>
      <c r="M28" s="13">
        <f>SUM(J28:L28)</f>
        <v>3215.73</v>
      </c>
      <c r="N28" s="12">
        <v>474</v>
      </c>
      <c r="O28" s="12">
        <v>72.72</v>
      </c>
      <c r="P28" s="12">
        <v>0</v>
      </c>
      <c r="Q28" s="14">
        <f>SUM(N28:P28)</f>
        <v>546.72</v>
      </c>
      <c r="R28" s="12">
        <f t="shared" si="9"/>
        <v>9792</v>
      </c>
    </row>
    <row r="29" spans="1:18" x14ac:dyDescent="0.25">
      <c r="A29" s="1" t="s">
        <v>14</v>
      </c>
      <c r="B29" s="12"/>
      <c r="C29" s="12"/>
      <c r="D29" s="12">
        <f>790.2+419.9</f>
        <v>1210.0999999999999</v>
      </c>
      <c r="E29" s="13">
        <f t="shared" si="5"/>
        <v>1210.0999999999999</v>
      </c>
      <c r="F29" s="12">
        <v>391.76</v>
      </c>
      <c r="G29" s="12">
        <f>429.44+267.54+1053.78</f>
        <v>1750.76</v>
      </c>
      <c r="H29" s="12"/>
      <c r="I29" s="13">
        <f t="shared" si="6"/>
        <v>2142.52</v>
      </c>
      <c r="J29" s="12">
        <f>480.48+525.36</f>
        <v>1005.84</v>
      </c>
      <c r="K29" s="12">
        <f>196.56+715.16</f>
        <v>911.72</v>
      </c>
      <c r="L29" s="12">
        <f>665.02+240.41</f>
        <v>905.43</v>
      </c>
      <c r="M29" s="13">
        <f t="shared" si="7"/>
        <v>2822.99</v>
      </c>
      <c r="N29" s="12">
        <f>240.79+157.6</f>
        <v>398.39</v>
      </c>
      <c r="O29" s="12"/>
      <c r="P29" s="12">
        <v>198.4</v>
      </c>
      <c r="Q29" s="14">
        <f t="shared" si="8"/>
        <v>596.79</v>
      </c>
      <c r="R29" s="12">
        <f t="shared" si="9"/>
        <v>6772.4</v>
      </c>
    </row>
    <row r="30" spans="1:18" x14ac:dyDescent="0.25">
      <c r="A30" s="5" t="s">
        <v>21</v>
      </c>
      <c r="B30" s="17">
        <f>SUM(B12:B29)</f>
        <v>7898.4699999999993</v>
      </c>
      <c r="C30" s="17">
        <f t="shared" ref="C30:P30" si="10">SUM(C12:C29)</f>
        <v>7756.31</v>
      </c>
      <c r="D30" s="17">
        <f t="shared" si="10"/>
        <v>12068.019999999999</v>
      </c>
      <c r="E30" s="17">
        <f t="shared" si="10"/>
        <v>27722.799999999996</v>
      </c>
      <c r="F30" s="17">
        <f t="shared" si="10"/>
        <v>9359.0600000000013</v>
      </c>
      <c r="G30" s="17">
        <f t="shared" si="10"/>
        <v>14807.6</v>
      </c>
      <c r="H30" s="17">
        <f t="shared" si="10"/>
        <v>10791.780000000002</v>
      </c>
      <c r="I30" s="17">
        <f t="shared" si="10"/>
        <v>34958.439999999995</v>
      </c>
      <c r="J30" s="17">
        <f t="shared" si="10"/>
        <v>8822.8799999999992</v>
      </c>
      <c r="K30" s="17">
        <f t="shared" si="10"/>
        <v>9494.15</v>
      </c>
      <c r="L30" s="17">
        <f t="shared" si="10"/>
        <v>12084.050000000001</v>
      </c>
      <c r="M30" s="17">
        <f t="shared" si="10"/>
        <v>30401.08</v>
      </c>
      <c r="N30" s="17">
        <f t="shared" si="10"/>
        <v>7764.2500000000009</v>
      </c>
      <c r="O30" s="17">
        <f t="shared" si="10"/>
        <v>6298.6600000000008</v>
      </c>
      <c r="P30" s="17">
        <f t="shared" si="10"/>
        <v>20444.41</v>
      </c>
      <c r="Q30" s="18">
        <f t="shared" ref="Q30" si="11">SUM(Q12:Q29)</f>
        <v>34507.32</v>
      </c>
      <c r="R30" s="17">
        <f t="shared" ref="R30" si="12">SUM(R12:R29)</f>
        <v>127589.89</v>
      </c>
    </row>
    <row r="31" spans="1:18" x14ac:dyDescent="0.25">
      <c r="A31" s="1"/>
      <c r="B31" s="12"/>
      <c r="C31" s="12"/>
      <c r="D31" s="12"/>
      <c r="E31" s="13"/>
      <c r="F31" s="12"/>
      <c r="G31" s="12"/>
      <c r="H31" s="12"/>
      <c r="I31" s="13"/>
      <c r="J31" s="12"/>
      <c r="K31" s="12"/>
      <c r="L31" s="12"/>
      <c r="M31" s="13"/>
      <c r="N31" s="12"/>
      <c r="O31" s="12"/>
      <c r="P31" s="12"/>
      <c r="Q31" s="14"/>
      <c r="R31" s="12"/>
    </row>
    <row r="32" spans="1:18" x14ac:dyDescent="0.25">
      <c r="A32" s="1"/>
      <c r="B32" s="12"/>
      <c r="C32" s="12"/>
      <c r="D32" s="12"/>
      <c r="E32" s="13"/>
      <c r="F32" s="12"/>
      <c r="G32" s="12"/>
      <c r="H32" s="12"/>
      <c r="I32" s="13"/>
      <c r="J32" s="12"/>
      <c r="K32" s="12"/>
      <c r="L32" s="12"/>
      <c r="M32" s="13"/>
      <c r="N32" s="12"/>
      <c r="O32" s="12"/>
      <c r="P32" s="12"/>
      <c r="Q32" s="14"/>
      <c r="R32" s="12"/>
    </row>
    <row r="33" spans="1:18" x14ac:dyDescent="0.25">
      <c r="A33" s="6" t="s">
        <v>12</v>
      </c>
      <c r="B33" s="19">
        <f>B11-B30</f>
        <v>-5870.9699999999993</v>
      </c>
      <c r="C33" s="19">
        <f t="shared" ref="C33:R33" si="13">C11-C30</f>
        <v>118.6899999999996</v>
      </c>
      <c r="D33" s="19">
        <f t="shared" si="13"/>
        <v>-2596.0199999999986</v>
      </c>
      <c r="E33" s="19">
        <f t="shared" si="13"/>
        <v>-8348.2999999999956</v>
      </c>
      <c r="F33" s="19">
        <f t="shared" si="13"/>
        <v>-2183.0600000000013</v>
      </c>
      <c r="G33" s="19">
        <f t="shared" si="13"/>
        <v>-3662.1000000000004</v>
      </c>
      <c r="H33" s="19">
        <f t="shared" si="13"/>
        <v>-5047.2800000000025</v>
      </c>
      <c r="I33" s="19">
        <f t="shared" si="13"/>
        <v>-10892.439999999995</v>
      </c>
      <c r="J33" s="19">
        <f t="shared" si="13"/>
        <v>-5073.3799999999992</v>
      </c>
      <c r="K33" s="19">
        <f t="shared" si="13"/>
        <v>-1523.1499999999996</v>
      </c>
      <c r="L33" s="19">
        <f t="shared" si="13"/>
        <v>-7504.0500000000011</v>
      </c>
      <c r="M33" s="19">
        <f t="shared" si="13"/>
        <v>-14188.580000000002</v>
      </c>
      <c r="N33" s="19">
        <f t="shared" si="13"/>
        <v>-947.25000000000091</v>
      </c>
      <c r="O33" s="19">
        <f t="shared" si="13"/>
        <v>-974.66000000000076</v>
      </c>
      <c r="P33" s="19">
        <f t="shared" si="13"/>
        <v>-13760.41</v>
      </c>
      <c r="Q33" s="20">
        <f t="shared" si="13"/>
        <v>-15682.32</v>
      </c>
      <c r="R33" s="19">
        <f t="shared" si="13"/>
        <v>-49023.39</v>
      </c>
    </row>
    <row r="37" spans="1:18" x14ac:dyDescent="0.25">
      <c r="A37" s="25">
        <v>2020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9"/>
    </row>
    <row r="38" spans="1:18" x14ac:dyDescent="0.25">
      <c r="A38" s="1"/>
      <c r="B38" s="2" t="s">
        <v>0</v>
      </c>
      <c r="C38" s="2" t="s">
        <v>1</v>
      </c>
      <c r="D38" s="2" t="s">
        <v>2</v>
      </c>
      <c r="E38" s="3" t="s">
        <v>19</v>
      </c>
      <c r="F38" s="2" t="s">
        <v>3</v>
      </c>
      <c r="G38" s="2" t="s">
        <v>4</v>
      </c>
      <c r="H38" s="2" t="s">
        <v>5</v>
      </c>
      <c r="I38" s="3" t="s">
        <v>16</v>
      </c>
      <c r="J38" s="2" t="s">
        <v>6</v>
      </c>
      <c r="K38" s="2" t="s">
        <v>7</v>
      </c>
      <c r="L38" s="2" t="s">
        <v>8</v>
      </c>
      <c r="M38" s="3" t="s">
        <v>17</v>
      </c>
      <c r="N38" s="2" t="s">
        <v>9</v>
      </c>
      <c r="O38" s="2" t="s">
        <v>10</v>
      </c>
      <c r="P38" s="2" t="s">
        <v>11</v>
      </c>
      <c r="Q38" s="7" t="s">
        <v>18</v>
      </c>
      <c r="R38" s="8" t="s">
        <v>22</v>
      </c>
    </row>
    <row r="39" spans="1:18" x14ac:dyDescent="0.25">
      <c r="A39" s="1" t="s">
        <v>30</v>
      </c>
      <c r="B39" s="12">
        <v>200</v>
      </c>
      <c r="C39" s="12">
        <v>916</v>
      </c>
      <c r="D39" s="12"/>
      <c r="E39" s="13">
        <f t="shared" ref="E39:E44" si="14">SUM(B39:D39)</f>
        <v>1116</v>
      </c>
      <c r="F39" s="12"/>
      <c r="G39" s="12"/>
      <c r="H39" s="12"/>
      <c r="I39" s="13">
        <f t="shared" ref="I39:I44" si="15">SUM(F39:H39)</f>
        <v>0</v>
      </c>
      <c r="J39" s="12"/>
      <c r="K39" s="12"/>
      <c r="L39" s="12"/>
      <c r="M39" s="13">
        <f t="shared" ref="M39:M44" si="16">SUM(J39:L39)</f>
        <v>0</v>
      </c>
      <c r="N39" s="12"/>
      <c r="O39" s="12"/>
      <c r="P39" s="12"/>
      <c r="Q39" s="14">
        <f t="shared" ref="Q39:Q44" si="17">SUM(N39:P39)</f>
        <v>0</v>
      </c>
      <c r="R39" s="12">
        <f>+E39+I39+M39+Q39</f>
        <v>1116</v>
      </c>
    </row>
    <row r="40" spans="1:18" x14ac:dyDescent="0.25">
      <c r="A40" s="1" t="s">
        <v>31</v>
      </c>
      <c r="B40" s="12">
        <v>2380</v>
      </c>
      <c r="C40" s="12">
        <v>5254</v>
      </c>
      <c r="D40" s="12"/>
      <c r="E40" s="13">
        <f t="shared" si="14"/>
        <v>7634</v>
      </c>
      <c r="F40" s="12"/>
      <c r="G40" s="12"/>
      <c r="H40" s="12"/>
      <c r="I40" s="13">
        <f t="shared" si="15"/>
        <v>0</v>
      </c>
      <c r="J40" s="12"/>
      <c r="K40" s="12"/>
      <c r="L40" s="12"/>
      <c r="M40" s="13">
        <f t="shared" si="16"/>
        <v>0</v>
      </c>
      <c r="N40" s="12"/>
      <c r="O40" s="12"/>
      <c r="P40" s="12"/>
      <c r="Q40" s="14">
        <f t="shared" si="17"/>
        <v>0</v>
      </c>
      <c r="R40" s="12">
        <f t="shared" ref="R40:R44" si="18">+E40+I40+M40+Q40</f>
        <v>7634</v>
      </c>
    </row>
    <row r="41" spans="1:18" x14ac:dyDescent="0.25">
      <c r="A41" s="1" t="s">
        <v>32</v>
      </c>
      <c r="B41" s="12">
        <v>140</v>
      </c>
      <c r="C41" s="12">
        <v>745</v>
      </c>
      <c r="D41" s="12"/>
      <c r="E41" s="13">
        <f t="shared" si="14"/>
        <v>885</v>
      </c>
      <c r="F41" s="12"/>
      <c r="G41" s="12"/>
      <c r="H41" s="12"/>
      <c r="I41" s="13">
        <f t="shared" si="15"/>
        <v>0</v>
      </c>
      <c r="J41" s="12"/>
      <c r="K41" s="12"/>
      <c r="L41" s="12"/>
      <c r="M41" s="13">
        <f t="shared" si="16"/>
        <v>0</v>
      </c>
      <c r="N41" s="12"/>
      <c r="O41" s="12"/>
      <c r="P41" s="12"/>
      <c r="Q41" s="14">
        <f t="shared" si="17"/>
        <v>0</v>
      </c>
      <c r="R41" s="12">
        <f t="shared" si="18"/>
        <v>885</v>
      </c>
    </row>
    <row r="42" spans="1:18" x14ac:dyDescent="0.25">
      <c r="A42" s="1" t="s">
        <v>33</v>
      </c>
      <c r="B42" s="12">
        <v>124</v>
      </c>
      <c r="C42" s="12">
        <v>262</v>
      </c>
      <c r="D42" s="12"/>
      <c r="E42" s="13">
        <f t="shared" si="14"/>
        <v>386</v>
      </c>
      <c r="F42" s="12"/>
      <c r="G42" s="12"/>
      <c r="H42" s="12"/>
      <c r="I42" s="13">
        <f t="shared" si="15"/>
        <v>0</v>
      </c>
      <c r="J42" s="12"/>
      <c r="K42" s="12"/>
      <c r="L42" s="12"/>
      <c r="M42" s="13">
        <f t="shared" si="16"/>
        <v>0</v>
      </c>
      <c r="N42" s="12"/>
      <c r="O42" s="12"/>
      <c r="P42" s="12"/>
      <c r="Q42" s="14">
        <f t="shared" si="17"/>
        <v>0</v>
      </c>
      <c r="R42" s="12">
        <f t="shared" si="18"/>
        <v>386</v>
      </c>
    </row>
    <row r="43" spans="1:18" x14ac:dyDescent="0.25">
      <c r="A43" s="1" t="s">
        <v>42</v>
      </c>
      <c r="B43" s="12"/>
      <c r="C43" s="12">
        <v>1</v>
      </c>
      <c r="D43" s="12"/>
      <c r="E43" s="13">
        <f t="shared" si="14"/>
        <v>1</v>
      </c>
      <c r="F43" s="12"/>
      <c r="G43" s="12"/>
      <c r="H43" s="12"/>
      <c r="I43" s="13">
        <f t="shared" si="15"/>
        <v>0</v>
      </c>
      <c r="J43" s="12"/>
      <c r="K43" s="12"/>
      <c r="L43" s="12"/>
      <c r="M43" s="13">
        <f t="shared" si="16"/>
        <v>0</v>
      </c>
      <c r="N43" s="12"/>
      <c r="O43" s="12"/>
      <c r="P43" s="12"/>
      <c r="Q43" s="14">
        <f t="shared" si="17"/>
        <v>0</v>
      </c>
      <c r="R43" s="12">
        <f t="shared" si="18"/>
        <v>1</v>
      </c>
    </row>
    <row r="44" spans="1:18" x14ac:dyDescent="0.25">
      <c r="A44" s="1" t="s">
        <v>15</v>
      </c>
      <c r="B44" s="12"/>
      <c r="C44" s="12"/>
      <c r="D44" s="12"/>
      <c r="E44" s="13">
        <f t="shared" si="14"/>
        <v>0</v>
      </c>
      <c r="F44" s="12"/>
      <c r="G44" s="12"/>
      <c r="H44" s="12"/>
      <c r="I44" s="13">
        <f t="shared" si="15"/>
        <v>0</v>
      </c>
      <c r="J44" s="12"/>
      <c r="K44" s="12"/>
      <c r="L44" s="12"/>
      <c r="M44" s="13">
        <f t="shared" si="16"/>
        <v>0</v>
      </c>
      <c r="N44" s="12"/>
      <c r="O44" s="12"/>
      <c r="P44" s="12"/>
      <c r="Q44" s="14">
        <f t="shared" si="17"/>
        <v>0</v>
      </c>
      <c r="R44" s="12">
        <f t="shared" si="18"/>
        <v>0</v>
      </c>
    </row>
    <row r="45" spans="1:18" x14ac:dyDescent="0.25">
      <c r="A45" s="4" t="s">
        <v>20</v>
      </c>
      <c r="B45" s="15">
        <f t="shared" ref="B45:R45" si="19">SUM(B39:B44)</f>
        <v>2844</v>
      </c>
      <c r="C45" s="15">
        <f t="shared" si="19"/>
        <v>7178</v>
      </c>
      <c r="D45" s="15">
        <f t="shared" si="19"/>
        <v>0</v>
      </c>
      <c r="E45" s="15">
        <f t="shared" si="19"/>
        <v>10022</v>
      </c>
      <c r="F45" s="15">
        <f t="shared" si="19"/>
        <v>0</v>
      </c>
      <c r="G45" s="15">
        <f t="shared" si="19"/>
        <v>0</v>
      </c>
      <c r="H45" s="15">
        <f t="shared" si="19"/>
        <v>0</v>
      </c>
      <c r="I45" s="15">
        <f t="shared" si="19"/>
        <v>0</v>
      </c>
      <c r="J45" s="15">
        <f t="shared" si="19"/>
        <v>0</v>
      </c>
      <c r="K45" s="15">
        <f t="shared" si="19"/>
        <v>0</v>
      </c>
      <c r="L45" s="15">
        <f t="shared" si="19"/>
        <v>0</v>
      </c>
      <c r="M45" s="15">
        <f t="shared" si="19"/>
        <v>0</v>
      </c>
      <c r="N45" s="15">
        <f t="shared" si="19"/>
        <v>0</v>
      </c>
      <c r="O45" s="15">
        <f t="shared" si="19"/>
        <v>0</v>
      </c>
      <c r="P45" s="15">
        <f t="shared" si="19"/>
        <v>0</v>
      </c>
      <c r="Q45" s="16">
        <f t="shared" si="19"/>
        <v>0</v>
      </c>
      <c r="R45" s="15">
        <f t="shared" si="19"/>
        <v>10022</v>
      </c>
    </row>
    <row r="46" spans="1:18" x14ac:dyDescent="0.25">
      <c r="A46" s="1" t="s">
        <v>24</v>
      </c>
      <c r="B46" s="12">
        <v>292</v>
      </c>
      <c r="C46" s="12">
        <v>162</v>
      </c>
      <c r="D46" s="12">
        <v>98.5</v>
      </c>
      <c r="E46" s="13">
        <f t="shared" ref="E46:E58" si="20">SUM(B46:D46)</f>
        <v>552.5</v>
      </c>
      <c r="F46" s="12"/>
      <c r="G46" s="12"/>
      <c r="H46" s="12"/>
      <c r="I46" s="13">
        <f t="shared" ref="I46:I58" si="21">SUM(F46:H46)</f>
        <v>0</v>
      </c>
      <c r="J46" s="12"/>
      <c r="K46" s="12"/>
      <c r="L46" s="12"/>
      <c r="M46" s="13">
        <f t="shared" ref="M46:M58" si="22">SUM(J46:L46)</f>
        <v>0</v>
      </c>
      <c r="N46" s="12"/>
      <c r="O46" s="12"/>
      <c r="P46" s="12"/>
      <c r="Q46" s="14">
        <f t="shared" ref="Q46:Q58" si="23">SUM(N46:P46)</f>
        <v>0</v>
      </c>
      <c r="R46" s="12">
        <f t="shared" ref="R46:R58" si="24">+E46+I46+M46+Q46</f>
        <v>552.5</v>
      </c>
    </row>
    <row r="47" spans="1:18" x14ac:dyDescent="0.25">
      <c r="A47" s="1" t="s">
        <v>36</v>
      </c>
      <c r="B47" s="12">
        <v>30.3</v>
      </c>
      <c r="C47" s="12">
        <v>22.15</v>
      </c>
      <c r="D47" s="12"/>
      <c r="E47" s="13">
        <f t="shared" si="20"/>
        <v>52.45</v>
      </c>
      <c r="F47" s="12"/>
      <c r="G47" s="12"/>
      <c r="H47" s="12"/>
      <c r="I47" s="13">
        <f t="shared" si="21"/>
        <v>0</v>
      </c>
      <c r="J47" s="12"/>
      <c r="K47" s="12"/>
      <c r="L47" s="12"/>
      <c r="M47" s="13">
        <f t="shared" si="22"/>
        <v>0</v>
      </c>
      <c r="N47" s="12"/>
      <c r="O47" s="12"/>
      <c r="P47" s="12"/>
      <c r="Q47" s="14">
        <f t="shared" si="23"/>
        <v>0</v>
      </c>
      <c r="R47" s="12">
        <f t="shared" si="24"/>
        <v>52.45</v>
      </c>
    </row>
    <row r="48" spans="1:18" x14ac:dyDescent="0.25">
      <c r="A48" s="1" t="s">
        <v>29</v>
      </c>
      <c r="B48" s="12">
        <v>60.78</v>
      </c>
      <c r="C48" s="12">
        <v>60.78</v>
      </c>
      <c r="D48" s="12">
        <v>60.78</v>
      </c>
      <c r="E48" s="13">
        <f t="shared" si="20"/>
        <v>182.34</v>
      </c>
      <c r="F48" s="12">
        <v>60.78</v>
      </c>
      <c r="G48" s="12"/>
      <c r="H48" s="12"/>
      <c r="I48" s="13">
        <f t="shared" si="21"/>
        <v>60.78</v>
      </c>
      <c r="J48" s="12"/>
      <c r="K48" s="12"/>
      <c r="L48" s="12"/>
      <c r="M48" s="13">
        <f t="shared" si="22"/>
        <v>0</v>
      </c>
      <c r="N48" s="12"/>
      <c r="O48" s="12"/>
      <c r="P48" s="12"/>
      <c r="Q48" s="14">
        <f t="shared" si="23"/>
        <v>0</v>
      </c>
      <c r="R48" s="12">
        <f t="shared" si="24"/>
        <v>243.12</v>
      </c>
    </row>
    <row r="49" spans="1:18" x14ac:dyDescent="0.25">
      <c r="A49" s="1" t="s">
        <v>25</v>
      </c>
      <c r="B49" s="12">
        <v>726</v>
      </c>
      <c r="C49" s="12"/>
      <c r="D49" s="12"/>
      <c r="E49" s="13">
        <f t="shared" si="20"/>
        <v>726</v>
      </c>
      <c r="F49" s="12"/>
      <c r="G49" s="12"/>
      <c r="H49" s="12"/>
      <c r="I49" s="13">
        <f t="shared" si="21"/>
        <v>0</v>
      </c>
      <c r="J49" s="12"/>
      <c r="K49" s="12"/>
      <c r="L49" s="12"/>
      <c r="M49" s="13">
        <f t="shared" si="22"/>
        <v>0</v>
      </c>
      <c r="N49" s="12"/>
      <c r="O49" s="12"/>
      <c r="P49" s="12"/>
      <c r="Q49" s="14">
        <f t="shared" si="23"/>
        <v>0</v>
      </c>
      <c r="R49" s="12">
        <f t="shared" si="24"/>
        <v>726</v>
      </c>
    </row>
    <row r="50" spans="1:18" x14ac:dyDescent="0.25">
      <c r="A50" s="1" t="s">
        <v>51</v>
      </c>
      <c r="B50" s="12"/>
      <c r="C50" s="12">
        <v>54.45</v>
      </c>
      <c r="D50" s="12"/>
      <c r="E50" s="13"/>
      <c r="F50" s="12"/>
      <c r="G50" s="12"/>
      <c r="H50" s="12"/>
      <c r="I50" s="13"/>
      <c r="J50" s="12"/>
      <c r="K50" s="12"/>
      <c r="L50" s="12"/>
      <c r="M50" s="13"/>
      <c r="N50" s="12"/>
      <c r="O50" s="12"/>
      <c r="P50" s="12"/>
      <c r="Q50" s="14"/>
      <c r="R50" s="12"/>
    </row>
    <row r="51" spans="1:18" x14ac:dyDescent="0.25">
      <c r="A51" s="1" t="s">
        <v>37</v>
      </c>
      <c r="B51" s="12"/>
      <c r="C51" s="12"/>
      <c r="D51" s="12">
        <f>168+79.18</f>
        <v>247.18</v>
      </c>
      <c r="E51" s="13">
        <f t="shared" si="20"/>
        <v>247.18</v>
      </c>
      <c r="F51" s="12">
        <f>69.99+151.99</f>
        <v>221.98000000000002</v>
      </c>
      <c r="G51" s="12"/>
      <c r="H51" s="12"/>
      <c r="I51" s="13">
        <f t="shared" si="21"/>
        <v>221.98000000000002</v>
      </c>
      <c r="J51" s="12"/>
      <c r="K51" s="12"/>
      <c r="L51" s="12"/>
      <c r="M51" s="13">
        <f t="shared" si="22"/>
        <v>0</v>
      </c>
      <c r="N51" s="12"/>
      <c r="O51" s="12"/>
      <c r="P51" s="12"/>
      <c r="Q51" s="14">
        <f t="shared" si="23"/>
        <v>0</v>
      </c>
      <c r="R51" s="12">
        <f t="shared" si="24"/>
        <v>469.16</v>
      </c>
    </row>
    <row r="52" spans="1:18" x14ac:dyDescent="0.25">
      <c r="A52" s="1" t="s">
        <v>43</v>
      </c>
      <c r="B52" s="12">
        <v>1310.92</v>
      </c>
      <c r="C52" s="12">
        <v>1310.92</v>
      </c>
      <c r="D52" s="12">
        <v>1310.92</v>
      </c>
      <c r="E52" s="13">
        <f>SUM(B52:D52)</f>
        <v>3932.76</v>
      </c>
      <c r="F52" s="12">
        <v>1310.92</v>
      </c>
      <c r="G52" s="12">
        <v>1310.92</v>
      </c>
      <c r="H52" s="12"/>
      <c r="I52" s="13">
        <f>SUM(F52:H52)</f>
        <v>2621.84</v>
      </c>
      <c r="J52" s="12"/>
      <c r="K52" s="12"/>
      <c r="L52" s="12"/>
      <c r="M52" s="13">
        <f>SUM(J52:L52)</f>
        <v>0</v>
      </c>
      <c r="N52" s="12"/>
      <c r="O52" s="12"/>
      <c r="P52" s="12"/>
      <c r="Q52" s="14">
        <f>SUM(N51:P51)</f>
        <v>0</v>
      </c>
      <c r="R52" s="12">
        <f>+E52+I52+M52+Q52</f>
        <v>6554.6</v>
      </c>
    </row>
    <row r="53" spans="1:18" x14ac:dyDescent="0.25">
      <c r="A53" s="1" t="s">
        <v>47</v>
      </c>
      <c r="B53" s="12">
        <f>66.32+204.97</f>
        <v>271.28999999999996</v>
      </c>
      <c r="C53" s="12">
        <f>57.02+219.23</f>
        <v>276.25</v>
      </c>
      <c r="D53" s="12">
        <f>34.16+150.03</f>
        <v>184.19</v>
      </c>
      <c r="E53" s="13">
        <f>SUM(B53:D53)</f>
        <v>731.73</v>
      </c>
      <c r="F53" s="12">
        <v>36.549999999999997</v>
      </c>
      <c r="G53" s="12"/>
      <c r="H53" s="12"/>
      <c r="I53" s="13">
        <f>SUM(F53:H53)</f>
        <v>36.549999999999997</v>
      </c>
      <c r="J53" s="12"/>
      <c r="K53" s="12"/>
      <c r="L53" s="12"/>
      <c r="M53" s="13">
        <f>SUM(J53:L53)</f>
        <v>0</v>
      </c>
      <c r="N53" s="12"/>
      <c r="O53" s="12"/>
      <c r="P53" s="12"/>
      <c r="Q53" s="14">
        <f>SUM(N53:P53)</f>
        <v>0</v>
      </c>
      <c r="R53" s="12">
        <f t="shared" si="24"/>
        <v>768.28</v>
      </c>
    </row>
    <row r="54" spans="1:18" x14ac:dyDescent="0.25">
      <c r="A54" s="1" t="s">
        <v>49</v>
      </c>
      <c r="B54" s="12"/>
      <c r="C54" s="12">
        <v>148.47999999999999</v>
      </c>
      <c r="D54" s="12"/>
      <c r="E54" s="13">
        <f>SUM(B54:D54)</f>
        <v>148.47999999999999</v>
      </c>
      <c r="F54" s="12">
        <v>191.38</v>
      </c>
      <c r="G54" s="12"/>
      <c r="H54" s="12"/>
      <c r="I54" s="13">
        <f>SUM(F54:H54)</f>
        <v>191.38</v>
      </c>
      <c r="J54" s="12"/>
      <c r="K54" s="12"/>
      <c r="L54" s="12"/>
      <c r="M54" s="13">
        <f>SUM(J54:L54)</f>
        <v>0</v>
      </c>
      <c r="N54" s="12"/>
      <c r="O54" s="12"/>
      <c r="P54" s="12"/>
      <c r="Q54" s="14">
        <f>SUM(N54:P54)</f>
        <v>0</v>
      </c>
      <c r="R54" s="12">
        <f t="shared" si="24"/>
        <v>339.86</v>
      </c>
    </row>
    <row r="55" spans="1:18" x14ac:dyDescent="0.25">
      <c r="A55" s="1" t="s">
        <v>13</v>
      </c>
      <c r="B55" s="12">
        <f>1378.73+2335.76+865.1</f>
        <v>4579.59</v>
      </c>
      <c r="C55" s="12">
        <f>1421.48+1157.26+986.86</f>
        <v>3565.6</v>
      </c>
      <c r="D55" s="12">
        <f>1869.17+1157.26+986.86</f>
        <v>4013.2900000000004</v>
      </c>
      <c r="E55" s="13">
        <f t="shared" si="20"/>
        <v>12158.480000000001</v>
      </c>
      <c r="F55" s="12">
        <f>1434.89+1157.26+986.86</f>
        <v>3579.01</v>
      </c>
      <c r="G55" s="12"/>
      <c r="H55" s="12"/>
      <c r="I55" s="13">
        <f t="shared" si="21"/>
        <v>3579.01</v>
      </c>
      <c r="J55" s="12"/>
      <c r="K55" s="12"/>
      <c r="L55" s="12"/>
      <c r="M55" s="13">
        <f t="shared" si="22"/>
        <v>0</v>
      </c>
      <c r="N55" s="12"/>
      <c r="O55" s="12"/>
      <c r="P55" s="12"/>
      <c r="Q55" s="14">
        <f t="shared" si="23"/>
        <v>0</v>
      </c>
      <c r="R55" s="12">
        <f t="shared" si="24"/>
        <v>15737.490000000002</v>
      </c>
    </row>
    <row r="56" spans="1:18" x14ac:dyDescent="0.25">
      <c r="A56" s="1" t="s">
        <v>46</v>
      </c>
      <c r="B56" s="12">
        <f>277.89+203.04</f>
        <v>480.92999999999995</v>
      </c>
      <c r="C56" s="12"/>
      <c r="D56" s="12"/>
      <c r="E56" s="13">
        <f>SUM(B56:D56)</f>
        <v>480.92999999999995</v>
      </c>
      <c r="F56" s="12"/>
      <c r="G56" s="12"/>
      <c r="H56" s="12"/>
      <c r="I56" s="13">
        <f>SUM(F56:H56)</f>
        <v>0</v>
      </c>
      <c r="J56" s="12"/>
      <c r="K56" s="12"/>
      <c r="L56" s="12"/>
      <c r="M56" s="13"/>
      <c r="N56" s="12"/>
      <c r="O56" s="12"/>
      <c r="P56" s="12"/>
      <c r="Q56" s="14"/>
      <c r="R56" s="12">
        <f t="shared" si="24"/>
        <v>480.92999999999995</v>
      </c>
    </row>
    <row r="57" spans="1:18" x14ac:dyDescent="0.25">
      <c r="A57" s="1" t="s">
        <v>45</v>
      </c>
      <c r="B57" s="12">
        <v>-471.36</v>
      </c>
      <c r="C57" s="12">
        <v>826.3</v>
      </c>
      <c r="D57" s="12">
        <v>1536.8</v>
      </c>
      <c r="E57" s="13">
        <f>SUM(B57:D57)</f>
        <v>1891.7399999999998</v>
      </c>
      <c r="F57" s="12">
        <v>1347.39</v>
      </c>
      <c r="G57" s="12"/>
      <c r="H57" s="12"/>
      <c r="I57" s="13">
        <f>SUM(F57:H57)</f>
        <v>1347.39</v>
      </c>
      <c r="J57" s="12"/>
      <c r="K57" s="12"/>
      <c r="L57" s="12"/>
      <c r="M57" s="13"/>
      <c r="N57" s="12"/>
      <c r="O57" s="12"/>
      <c r="P57" s="12"/>
      <c r="Q57" s="14"/>
      <c r="R57" s="12">
        <f t="shared" si="24"/>
        <v>3239.13</v>
      </c>
    </row>
    <row r="58" spans="1:18" x14ac:dyDescent="0.25">
      <c r="A58" s="1" t="s">
        <v>14</v>
      </c>
      <c r="B58" s="12"/>
      <c r="C58" s="12">
        <v>654.55999999999995</v>
      </c>
      <c r="D58" s="12">
        <v>160</v>
      </c>
      <c r="E58" s="13">
        <f t="shared" si="20"/>
        <v>814.56</v>
      </c>
      <c r="F58" s="12"/>
      <c r="G58" s="12"/>
      <c r="H58" s="12"/>
      <c r="I58" s="13">
        <f t="shared" si="21"/>
        <v>0</v>
      </c>
      <c r="J58" s="12"/>
      <c r="K58" s="12"/>
      <c r="L58" s="12"/>
      <c r="M58" s="13">
        <f t="shared" si="22"/>
        <v>0</v>
      </c>
      <c r="N58" s="12"/>
      <c r="O58" s="12"/>
      <c r="P58" s="12"/>
      <c r="Q58" s="14">
        <f t="shared" si="23"/>
        <v>0</v>
      </c>
      <c r="R58" s="12">
        <f t="shared" si="24"/>
        <v>814.56</v>
      </c>
    </row>
    <row r="59" spans="1:18" x14ac:dyDescent="0.25">
      <c r="A59" s="5" t="s">
        <v>21</v>
      </c>
      <c r="B59" s="17">
        <f>SUM(B46:B58)</f>
        <v>7280.4500000000007</v>
      </c>
      <c r="C59" s="17">
        <f t="shared" ref="C59" si="25">SUM(C46:C58)</f>
        <v>7081.49</v>
      </c>
      <c r="D59" s="17">
        <f t="shared" ref="D59" si="26">SUM(D46:D58)</f>
        <v>7611.6600000000008</v>
      </c>
      <c r="E59" s="17">
        <f t="shared" ref="E59" si="27">SUM(E46:E58)</f>
        <v>21919.150000000005</v>
      </c>
      <c r="F59" s="17">
        <f t="shared" ref="F59" si="28">SUM(F46:F58)</f>
        <v>6748.0100000000011</v>
      </c>
      <c r="G59" s="17">
        <f t="shared" ref="G59" si="29">SUM(G46:G58)</f>
        <v>1310.92</v>
      </c>
      <c r="H59" s="17">
        <f t="shared" ref="H59" si="30">SUM(H46:H58)</f>
        <v>0</v>
      </c>
      <c r="I59" s="17">
        <f t="shared" ref="I59" si="31">SUM(I46:I58)</f>
        <v>8058.9300000000012</v>
      </c>
      <c r="J59" s="17">
        <f t="shared" ref="J59" si="32">SUM(J46:J58)</f>
        <v>0</v>
      </c>
      <c r="K59" s="17">
        <f t="shared" ref="K59" si="33">SUM(K46:K58)</f>
        <v>0</v>
      </c>
      <c r="L59" s="17">
        <f t="shared" ref="L59" si="34">SUM(L46:L58)</f>
        <v>0</v>
      </c>
      <c r="M59" s="17">
        <f t="shared" ref="M59" si="35">SUM(M46:M58)</f>
        <v>0</v>
      </c>
      <c r="N59" s="17">
        <f t="shared" ref="N59" si="36">SUM(N46:N58)</f>
        <v>0</v>
      </c>
      <c r="O59" s="17">
        <f t="shared" ref="O59" si="37">SUM(O46:O58)</f>
        <v>0</v>
      </c>
      <c r="P59" s="17">
        <f t="shared" ref="P59" si="38">SUM(P46:P58)</f>
        <v>0</v>
      </c>
      <c r="Q59" s="18">
        <f t="shared" ref="Q59" si="39">SUM(Q46:Q58)</f>
        <v>0</v>
      </c>
      <c r="R59" s="17">
        <f t="shared" ref="R59" si="40">SUM(R46:R58)</f>
        <v>29978.080000000005</v>
      </c>
    </row>
    <row r="60" spans="1:18" x14ac:dyDescent="0.25">
      <c r="A60" s="1"/>
      <c r="B60" s="12"/>
      <c r="C60" s="12"/>
      <c r="D60" s="12"/>
      <c r="E60" s="13"/>
      <c r="F60" s="12"/>
      <c r="G60" s="12"/>
      <c r="H60" s="12"/>
      <c r="I60" s="13"/>
      <c r="J60" s="12"/>
      <c r="K60" s="12"/>
      <c r="L60" s="12"/>
      <c r="M60" s="13"/>
      <c r="N60" s="12"/>
      <c r="O60" s="12"/>
      <c r="P60" s="12"/>
      <c r="Q60" s="14"/>
      <c r="R60" s="12"/>
    </row>
    <row r="61" spans="1:18" x14ac:dyDescent="0.25">
      <c r="A61" s="1"/>
      <c r="B61" s="12"/>
      <c r="C61" s="12"/>
      <c r="D61" s="12"/>
      <c r="E61" s="13"/>
      <c r="F61" s="12"/>
      <c r="G61" s="12"/>
      <c r="H61" s="12"/>
      <c r="I61" s="13"/>
      <c r="J61" s="12"/>
      <c r="K61" s="12"/>
      <c r="L61" s="12"/>
      <c r="M61" s="13"/>
      <c r="N61" s="12"/>
      <c r="O61" s="12"/>
      <c r="P61" s="12"/>
      <c r="Q61" s="14"/>
      <c r="R61" s="12"/>
    </row>
    <row r="62" spans="1:18" x14ac:dyDescent="0.25">
      <c r="A62" s="10" t="s">
        <v>12</v>
      </c>
      <c r="B62" s="21">
        <f>B45-B59</f>
        <v>-4436.4500000000007</v>
      </c>
      <c r="C62" s="21">
        <f t="shared" ref="C62:R62" si="41">C45-C59</f>
        <v>96.510000000000218</v>
      </c>
      <c r="D62" s="21">
        <f t="shared" si="41"/>
        <v>-7611.6600000000008</v>
      </c>
      <c r="E62" s="21">
        <f t="shared" si="41"/>
        <v>-11897.150000000005</v>
      </c>
      <c r="F62" s="21">
        <f t="shared" si="41"/>
        <v>-6748.0100000000011</v>
      </c>
      <c r="G62" s="21">
        <f t="shared" si="41"/>
        <v>-1310.92</v>
      </c>
      <c r="H62" s="21">
        <f t="shared" si="41"/>
        <v>0</v>
      </c>
      <c r="I62" s="21">
        <f t="shared" si="41"/>
        <v>-8058.9300000000012</v>
      </c>
      <c r="J62" s="21">
        <f t="shared" si="41"/>
        <v>0</v>
      </c>
      <c r="K62" s="21">
        <f t="shared" si="41"/>
        <v>0</v>
      </c>
      <c r="L62" s="21">
        <f t="shared" si="41"/>
        <v>0</v>
      </c>
      <c r="M62" s="21">
        <f t="shared" si="41"/>
        <v>0</v>
      </c>
      <c r="N62" s="21">
        <f t="shared" si="41"/>
        <v>0</v>
      </c>
      <c r="O62" s="21">
        <f t="shared" si="41"/>
        <v>0</v>
      </c>
      <c r="P62" s="21">
        <f t="shared" si="41"/>
        <v>0</v>
      </c>
      <c r="Q62" s="22">
        <f t="shared" si="41"/>
        <v>0</v>
      </c>
      <c r="R62" s="21">
        <f t="shared" si="41"/>
        <v>-19956.080000000005</v>
      </c>
    </row>
    <row r="63" spans="1:18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5">
      <c r="A66" s="11" t="s">
        <v>23</v>
      </c>
      <c r="B66" s="24">
        <f>B62-B33</f>
        <v>1434.5199999999986</v>
      </c>
      <c r="C66" s="24">
        <f t="shared" ref="C66:R66" si="42">C62-C33</f>
        <v>-22.179999999999382</v>
      </c>
      <c r="D66" s="24">
        <f t="shared" si="42"/>
        <v>-5015.6400000000021</v>
      </c>
      <c r="E66" s="24">
        <f t="shared" si="42"/>
        <v>-3548.8500000000095</v>
      </c>
      <c r="F66" s="24">
        <f t="shared" si="42"/>
        <v>-4564.95</v>
      </c>
      <c r="G66" s="24">
        <f t="shared" si="42"/>
        <v>2351.1800000000003</v>
      </c>
      <c r="H66" s="24">
        <f t="shared" si="42"/>
        <v>5047.2800000000025</v>
      </c>
      <c r="I66" s="24">
        <f t="shared" si="42"/>
        <v>2833.5099999999939</v>
      </c>
      <c r="J66" s="24">
        <f t="shared" si="42"/>
        <v>5073.3799999999992</v>
      </c>
      <c r="K66" s="24">
        <f t="shared" si="42"/>
        <v>1523.1499999999996</v>
      </c>
      <c r="L66" s="24">
        <f t="shared" si="42"/>
        <v>7504.0500000000011</v>
      </c>
      <c r="M66" s="24">
        <f t="shared" si="42"/>
        <v>14188.580000000002</v>
      </c>
      <c r="N66" s="24">
        <f t="shared" si="42"/>
        <v>947.25000000000091</v>
      </c>
      <c r="O66" s="24">
        <f t="shared" si="42"/>
        <v>974.66000000000076</v>
      </c>
      <c r="P66" s="24">
        <f t="shared" si="42"/>
        <v>13760.41</v>
      </c>
      <c r="Q66" s="24">
        <f t="shared" si="42"/>
        <v>15682.32</v>
      </c>
      <c r="R66" s="24">
        <f t="shared" si="42"/>
        <v>29067.309999999994</v>
      </c>
    </row>
  </sheetData>
  <mergeCells count="2">
    <mergeCell ref="A1:Q1"/>
    <mergeCell ref="A37:Q37"/>
  </mergeCells>
  <pageMargins left="0.7" right="0.7" top="0.75" bottom="0.75" header="0.3" footer="0.3"/>
  <pageSetup paperSize="8" orientation="portrait" r:id="rId1"/>
  <ignoredErrors>
    <ignoredError sqref="E11 I11 M11 Q11 E45 I45 M45 Q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secretariobuitrago@outlook.es</cp:lastModifiedBy>
  <cp:lastPrinted>2020-05-25T12:46:05Z</cp:lastPrinted>
  <dcterms:created xsi:type="dcterms:W3CDTF">2020-05-05T07:46:09Z</dcterms:created>
  <dcterms:modified xsi:type="dcterms:W3CDTF">2020-05-25T12:49:44Z</dcterms:modified>
</cp:coreProperties>
</file>