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435"/>
  </bookViews>
  <sheets>
    <sheet name="Hoja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3" i="1"/>
  <c r="R52"/>
  <c r="R51"/>
  <c r="R50"/>
  <c r="R49"/>
  <c r="R48"/>
  <c r="R47"/>
  <c r="R46"/>
  <c r="R45"/>
  <c r="R44"/>
  <c r="R43"/>
  <c r="R42"/>
  <c r="R41"/>
  <c r="R40"/>
  <c r="F44"/>
  <c r="F45"/>
  <c r="C45"/>
  <c r="F52"/>
  <c r="D52"/>
  <c r="C52"/>
  <c r="B52"/>
  <c r="G51"/>
  <c r="I51" s="1"/>
  <c r="F51"/>
  <c r="D51"/>
  <c r="C51"/>
  <c r="B51"/>
  <c r="Q53"/>
  <c r="Q52"/>
  <c r="Q51"/>
  <c r="Q50"/>
  <c r="Q49"/>
  <c r="Q48"/>
  <c r="Q47"/>
  <c r="Q46"/>
  <c r="Q45"/>
  <c r="Q44"/>
  <c r="Q43"/>
  <c r="Q42"/>
  <c r="Q41"/>
  <c r="Q40"/>
  <c r="M53"/>
  <c r="M52"/>
  <c r="M51"/>
  <c r="M50"/>
  <c r="M49"/>
  <c r="M48"/>
  <c r="M47"/>
  <c r="M46"/>
  <c r="M45"/>
  <c r="M44"/>
  <c r="M43"/>
  <c r="M42"/>
  <c r="M41"/>
  <c r="M40"/>
  <c r="I53"/>
  <c r="I52"/>
  <c r="I50"/>
  <c r="I49"/>
  <c r="I48"/>
  <c r="I47"/>
  <c r="I46"/>
  <c r="I45"/>
  <c r="I44"/>
  <c r="I43"/>
  <c r="I42"/>
  <c r="I41"/>
  <c r="I40"/>
  <c r="E50"/>
  <c r="E49"/>
  <c r="E48"/>
  <c r="E47"/>
  <c r="E46"/>
  <c r="E45"/>
  <c r="E44"/>
  <c r="E43"/>
  <c r="E42"/>
  <c r="E41"/>
  <c r="E40"/>
  <c r="P23"/>
  <c r="O23"/>
  <c r="N23"/>
  <c r="L23"/>
  <c r="K23"/>
  <c r="J23"/>
  <c r="H23"/>
  <c r="G23"/>
  <c r="F23"/>
  <c r="D23"/>
  <c r="C23"/>
  <c r="B23"/>
  <c r="P21"/>
  <c r="O21"/>
  <c r="N21"/>
  <c r="L21"/>
  <c r="K21"/>
  <c r="J21"/>
  <c r="H21"/>
  <c r="G21"/>
  <c r="F21"/>
  <c r="D21"/>
  <c r="C21"/>
  <c r="B21"/>
  <c r="R20"/>
  <c r="Q22"/>
  <c r="R22" s="1"/>
  <c r="Q20"/>
  <c r="M22"/>
  <c r="M20"/>
  <c r="I22"/>
  <c r="E22"/>
  <c r="E20"/>
  <c r="I20"/>
  <c r="R19"/>
  <c r="Q19"/>
  <c r="M19"/>
  <c r="I19"/>
  <c r="E19"/>
  <c r="R8"/>
  <c r="R16"/>
  <c r="Q16"/>
  <c r="Q15"/>
  <c r="M16"/>
  <c r="I16"/>
  <c r="E16"/>
  <c r="R15"/>
  <c r="M15"/>
  <c r="I15"/>
  <c r="E15"/>
  <c r="P15"/>
  <c r="N15"/>
  <c r="K15"/>
  <c r="H15"/>
  <c r="F15"/>
  <c r="C15"/>
  <c r="R14"/>
  <c r="Q14"/>
  <c r="M14"/>
  <c r="I14"/>
  <c r="E14"/>
  <c r="P14"/>
  <c r="O14"/>
  <c r="L14"/>
  <c r="K14"/>
  <c r="J14"/>
  <c r="H14"/>
  <c r="G14"/>
  <c r="F14"/>
  <c r="D14"/>
  <c r="C14"/>
  <c r="Q13"/>
  <c r="M13"/>
  <c r="R13" s="1"/>
  <c r="I13"/>
  <c r="E13"/>
  <c r="P13"/>
  <c r="N13"/>
  <c r="J13"/>
  <c r="R12"/>
  <c r="R11"/>
  <c r="Q12"/>
  <c r="Q11"/>
  <c r="M12"/>
  <c r="M11"/>
  <c r="I12"/>
  <c r="I11"/>
  <c r="E12"/>
  <c r="E11"/>
  <c r="D11"/>
  <c r="D12"/>
  <c r="R10"/>
  <c r="Q10"/>
  <c r="M10"/>
  <c r="I10"/>
  <c r="F10"/>
  <c r="E10"/>
  <c r="C10"/>
  <c r="B10"/>
  <c r="R18"/>
  <c r="Q18"/>
  <c r="M18"/>
  <c r="I18"/>
  <c r="E18"/>
  <c r="P18"/>
  <c r="H18"/>
  <c r="E52" l="1"/>
  <c r="E51"/>
  <c r="Q23"/>
  <c r="M23"/>
  <c r="R23" s="1"/>
  <c r="R24" s="1"/>
  <c r="R27" s="1"/>
  <c r="I23"/>
  <c r="E23"/>
  <c r="Q21"/>
  <c r="M21"/>
  <c r="I21"/>
  <c r="E21"/>
  <c r="R21" s="1"/>
  <c r="R9"/>
  <c r="R39"/>
  <c r="O57"/>
  <c r="R54"/>
  <c r="Q54"/>
  <c r="P54"/>
  <c r="P57" s="1"/>
  <c r="O54"/>
  <c r="N54"/>
  <c r="M54"/>
  <c r="L54"/>
  <c r="K54"/>
  <c r="J54"/>
  <c r="I54"/>
  <c r="H54"/>
  <c r="H57" s="1"/>
  <c r="G54"/>
  <c r="G57" s="1"/>
  <c r="F54"/>
  <c r="E54"/>
  <c r="D54"/>
  <c r="C54"/>
  <c r="B54"/>
  <c r="P39"/>
  <c r="O39"/>
  <c r="N39"/>
  <c r="N57" s="1"/>
  <c r="L39"/>
  <c r="L57" s="1"/>
  <c r="K39"/>
  <c r="K57" s="1"/>
  <c r="J39"/>
  <c r="J57" s="1"/>
  <c r="I39"/>
  <c r="I57" s="1"/>
  <c r="H39"/>
  <c r="G39"/>
  <c r="F39"/>
  <c r="F57" s="1"/>
  <c r="D39"/>
  <c r="C39"/>
  <c r="B39"/>
  <c r="Q38"/>
  <c r="M38"/>
  <c r="I38"/>
  <c r="E38"/>
  <c r="Q37"/>
  <c r="M37"/>
  <c r="I37"/>
  <c r="E37"/>
  <c r="Q36"/>
  <c r="M36"/>
  <c r="I36"/>
  <c r="E36"/>
  <c r="Q35"/>
  <c r="M35"/>
  <c r="I35"/>
  <c r="E35"/>
  <c r="Q34"/>
  <c r="Q39" s="1"/>
  <c r="M34"/>
  <c r="I34"/>
  <c r="E34"/>
  <c r="Q33"/>
  <c r="M33"/>
  <c r="M39" s="1"/>
  <c r="M57" s="1"/>
  <c r="I33"/>
  <c r="E33"/>
  <c r="E39" s="1"/>
  <c r="E57" s="1"/>
  <c r="Q24"/>
  <c r="C24"/>
  <c r="C27" s="1"/>
  <c r="D24"/>
  <c r="D27" s="1"/>
  <c r="E24"/>
  <c r="E27" s="1"/>
  <c r="F24"/>
  <c r="F27" s="1"/>
  <c r="F61" s="1"/>
  <c r="G24"/>
  <c r="G27" s="1"/>
  <c r="H24"/>
  <c r="H27" s="1"/>
  <c r="H61" s="1"/>
  <c r="I24"/>
  <c r="I27" s="1"/>
  <c r="I61" s="1"/>
  <c r="J24"/>
  <c r="J27" s="1"/>
  <c r="J61" s="1"/>
  <c r="K24"/>
  <c r="K27" s="1"/>
  <c r="K61" s="1"/>
  <c r="L24"/>
  <c r="L27" s="1"/>
  <c r="L61" s="1"/>
  <c r="N24"/>
  <c r="N27" s="1"/>
  <c r="N61" s="1"/>
  <c r="O24"/>
  <c r="O27" s="1"/>
  <c r="O61" s="1"/>
  <c r="P24"/>
  <c r="P27" s="1"/>
  <c r="P61" s="1"/>
  <c r="B24"/>
  <c r="B27" s="1"/>
  <c r="Q9"/>
  <c r="Q8"/>
  <c r="Q7"/>
  <c r="Q6"/>
  <c r="Q5"/>
  <c r="Q4"/>
  <c r="Q3"/>
  <c r="P9"/>
  <c r="O9"/>
  <c r="N9"/>
  <c r="E9"/>
  <c r="I9"/>
  <c r="M9"/>
  <c r="M8"/>
  <c r="M7"/>
  <c r="M6"/>
  <c r="M5"/>
  <c r="M4"/>
  <c r="M3"/>
  <c r="L9"/>
  <c r="K9"/>
  <c r="J9"/>
  <c r="I8"/>
  <c r="I7"/>
  <c r="I6"/>
  <c r="I5"/>
  <c r="I4"/>
  <c r="I3"/>
  <c r="H9"/>
  <c r="G9"/>
  <c r="F9"/>
  <c r="E8"/>
  <c r="E7"/>
  <c r="E6"/>
  <c r="E5"/>
  <c r="E4"/>
  <c r="E3"/>
  <c r="D9"/>
  <c r="C9"/>
  <c r="B9"/>
  <c r="R57" l="1"/>
  <c r="R61" s="1"/>
  <c r="B57"/>
  <c r="G61"/>
  <c r="D57"/>
  <c r="D61" s="1"/>
  <c r="C57"/>
  <c r="C61" s="1"/>
  <c r="B61"/>
  <c r="Q57"/>
  <c r="E61"/>
  <c r="M24"/>
  <c r="M27" s="1"/>
  <c r="M61" s="1"/>
  <c r="Q27"/>
  <c r="Q61" l="1"/>
</calcChain>
</file>

<file path=xl/sharedStrings.xml><?xml version="1.0" encoding="utf-8"?>
<sst xmlns="http://schemas.openxmlformats.org/spreadsheetml/2006/main" count="80" uniqueCount="41">
  <si>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</si>
  <si>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</si>
  <si>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</si>
  <si>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</si>
  <si>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</si>
  <si>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</si>
  <si>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</si>
  <si>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</si>
  <si>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</si>
  <si>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</si>
  <si>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</si>
  <si>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</si>
  <si>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Ingreso A</t>
  </si>
  <si>
    <t>Ingreso B</t>
  </si>
  <si>
    <t>Ingreso C</t>
  </si>
  <si>
    <t>Balance neto (Ingreso - Gasto)</t>
  </si>
  <si>
    <t>Horas extras</t>
  </si>
  <si>
    <t>Subvención</t>
  </si>
  <si>
    <t>2º TRIMESTRE</t>
  </si>
  <si>
    <t>3º TRIMESTRE</t>
  </si>
  <si>
    <t>4º TRIMESTRE</t>
  </si>
  <si>
    <t>1º TRIMESTRE</t>
  </si>
  <si>
    <t>TOTAL BRUTO INGRESOS</t>
  </si>
  <si>
    <t>TOTAL BRUTO GASTOS</t>
  </si>
  <si>
    <t>Ingreso D</t>
  </si>
  <si>
    <t>Ingreso E</t>
  </si>
  <si>
    <t>TOTAL ANUAL</t>
  </si>
  <si>
    <t>DIFERENCIA ENTRE AÑOS 2020-2019</t>
  </si>
  <si>
    <t>CALEFACCION</t>
  </si>
  <si>
    <t>GAS CEI PEÑALTA</t>
  </si>
  <si>
    <t>GAS SALA ESCOLAR</t>
  </si>
  <si>
    <t>285,9+</t>
  </si>
  <si>
    <t>GASTOS VARIOS MANTENIMIENTO</t>
  </si>
  <si>
    <t>LUZ</t>
  </si>
  <si>
    <t>AGUA</t>
  </si>
  <si>
    <t>ALARMA</t>
  </si>
  <si>
    <t>Nóminas Conserje</t>
  </si>
  <si>
    <t>S.Sociales Conserje</t>
  </si>
  <si>
    <t>Nominas Limpiadoras</t>
  </si>
  <si>
    <t>Horas extrar</t>
  </si>
  <si>
    <t>S.sociales limpiadoras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</si>
</sst>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4" borderId="1" xfId="0" applyFont="1" applyFill="1" applyBorder="1"/>
    <xf numFmtId="0" fontId="1" fillId="2" borderId="1" xfId="0" applyFont="1" applyFill="1" applyBorder="1"/>
    <xf numFmtId="0" fontId="1" fillId="3" borderId="1" xfId="0" applyFont="1" applyFill="1" applyBorder="1"/>
    <xf numFmtId="0" fontId="1" fillId="5" borderId="1" xfId="0" applyFont="1" applyFill="1" applyBorder="1"/>
    <xf numFmtId="0" fontId="1" fillId="4" borderId="3" xfId="0" applyFont="1" applyFill="1" applyBorder="1"/>
    <xf numFmtId="0" fontId="1" fillId="0" borderId="1" xfId="0" applyFont="1" applyFill="1" applyBorder="1"/>
    <xf numFmtId="0" fontId="0" fillId="6" borderId="1" xfId="0" applyFill="1" applyBorder="1"/>
    <xf numFmtId="0" fontId="1" fillId="7" borderId="1" xfId="0" applyFont="1" applyFill="1" applyBorder="1"/>
    <xf numFmtId="0" fontId="0" fillId="8" borderId="1" xfId="0" applyFill="1" applyBorder="1"/>
    <xf numFmtId="0" fontId="0" fillId="6" borderId="2" xfId="0" applyFill="1" applyBorder="1" applyAlignment="1">
      <alignment horizontal="center"/>
    </xf>
    <xf numFmtId="4" fontId="0" fillId="0" borderId="1" xfId="0" applyNumberFormat="1" applyBorder="1"/>
    <xf numFmtId="4" fontId="0" fillId="4" borderId="1" xfId="0" applyNumberFormat="1" applyFill="1" applyBorder="1"/>
    <xf numFmtId="4" fontId="0" fillId="4" borderId="3" xfId="0" applyNumberFormat="1" applyFill="1" applyBorder="1"/>
    <xf numFmtId="4" fontId="0" fillId="2" borderId="1" xfId="0" applyNumberFormat="1" applyFill="1" applyBorder="1"/>
    <xf numFmtId="4" fontId="0" fillId="2" borderId="3" xfId="0" applyNumberFormat="1" applyFill="1" applyBorder="1"/>
    <xf numFmtId="4" fontId="0" fillId="3" borderId="1" xfId="0" applyNumberFormat="1" applyFill="1" applyBorder="1"/>
    <xf numFmtId="4" fontId="0" fillId="3" borderId="3" xfId="0" applyNumberFormat="1" applyFill="1" applyBorder="1"/>
    <xf numFmtId="4" fontId="0" fillId="5" borderId="1" xfId="0" applyNumberFormat="1" applyFill="1" applyBorder="1"/>
    <xf numFmtId="4" fontId="0" fillId="5" borderId="3" xfId="0" applyNumberFormat="1" applyFill="1" applyBorder="1"/>
    <xf numFmtId="4" fontId="0" fillId="7" borderId="1" xfId="0" applyNumberFormat="1" applyFill="1" applyBorder="1"/>
    <xf numFmtId="4" fontId="0" fillId="7" borderId="3" xfId="0" applyNumberFormat="1" applyFill="1" applyBorder="1"/>
    <xf numFmtId="4" fontId="0" fillId="0" borderId="0" xfId="0" applyNumberFormat="1"/>
    <xf numFmtId="4" fontId="0" fillId="8" borderId="1" xfId="0" applyNumberFormat="1" applyFill="1" applyBorder="1"/>
    <xf numFmtId="0" fontId="0" fillId="0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61"/>
  <sheetViews>
    <sheetView tabSelected="1" topLeftCell="A28" workbookViewId="0">
      <selection activeCell="T19" sqref="T1:T1048576"/>
    </sheetView>
  </sheetViews>
  <sheetFormatPr baseColWidth="10" defaultRowHeight="15"/>
  <cols>
    <col min="1" max="1" width="32.7109375" bestFit="1" customWidth="1"/>
    <col min="2" max="2" width="10.140625" customWidth="1"/>
    <col min="5" max="5" width="14.140625" bestFit="1" customWidth="1"/>
    <col min="9" max="9" width="13.140625" bestFit="1" customWidth="1"/>
    <col min="13" max="13" width="13.140625" bestFit="1" customWidth="1"/>
    <col min="17" max="17" width="13.140625" bestFit="1" customWidth="1"/>
    <col min="18" max="18" width="13.28515625" bestFit="1" customWidth="1"/>
  </cols>
  <sheetData>
    <row r="1" spans="1:18">
      <c r="A1" s="12">
        <v>2019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9"/>
    </row>
    <row r="2" spans="1:18">
      <c r="A2" s="1"/>
      <c r="B2" s="2" t="s">
        <v>0</v>
      </c>
      <c r="C2" s="2" t="s">
        <v>1</v>
      </c>
      <c r="D2" s="2" t="s">
        <v>2</v>
      </c>
      <c r="E2" s="3" t="s">
        <v>21</v>
      </c>
      <c r="F2" s="2" t="s">
        <v>3</v>
      </c>
      <c r="G2" s="2" t="s">
        <v>4</v>
      </c>
      <c r="H2" s="2" t="s">
        <v>5</v>
      </c>
      <c r="I2" s="3" t="s">
        <v>18</v>
      </c>
      <c r="J2" s="2" t="s">
        <v>6</v>
      </c>
      <c r="K2" s="2" t="s">
        <v>7</v>
      </c>
      <c r="L2" s="2" t="s">
        <v>8</v>
      </c>
      <c r="M2" s="3" t="s">
        <v>19</v>
      </c>
      <c r="N2" s="2" t="s">
        <v>9</v>
      </c>
      <c r="O2" s="2" t="s">
        <v>10</v>
      </c>
      <c r="P2" s="2" t="s">
        <v>11</v>
      </c>
      <c r="Q2" s="7" t="s">
        <v>20</v>
      </c>
      <c r="R2" s="8" t="s">
        <v>26</v>
      </c>
    </row>
    <row r="3" spans="1:18">
      <c r="A3" s="1" t="s">
        <v>12</v>
      </c>
      <c r="B3" s="13"/>
      <c r="C3" s="13"/>
      <c r="D3" s="13"/>
      <c r="E3" s="14">
        <f t="shared" ref="E3:E8" si="0">SUM(B3:D3)</f>
        <v>0</v>
      </c>
      <c r="F3" s="13"/>
      <c r="G3" s="13"/>
      <c r="H3" s="13"/>
      <c r="I3" s="14">
        <f t="shared" ref="I3:I8" si="1">SUM(F3:H3)</f>
        <v>0</v>
      </c>
      <c r="J3" s="13"/>
      <c r="K3" s="13"/>
      <c r="L3" s="13"/>
      <c r="M3" s="14">
        <f t="shared" ref="M3:M8" si="2">SUM(J3:L3)</f>
        <v>0</v>
      </c>
      <c r="N3" s="13"/>
      <c r="O3" s="13"/>
      <c r="P3" s="13"/>
      <c r="Q3" s="15">
        <f t="shared" ref="Q3:Q8" si="3">SUM(N3:P3)</f>
        <v>0</v>
      </c>
      <c r="R3" s="13"/>
    </row>
    <row r="4" spans="1:18">
      <c r="A4" s="1" t="s">
        <v>13</v>
      </c>
      <c r="B4" s="13"/>
      <c r="C4" s="13"/>
      <c r="D4" s="13"/>
      <c r="E4" s="14">
        <f t="shared" si="0"/>
        <v>0</v>
      </c>
      <c r="F4" s="13"/>
      <c r="G4" s="13"/>
      <c r="H4" s="13"/>
      <c r="I4" s="14">
        <f t="shared" si="1"/>
        <v>0</v>
      </c>
      <c r="J4" s="13"/>
      <c r="K4" s="13"/>
      <c r="L4" s="13"/>
      <c r="M4" s="14">
        <f t="shared" si="2"/>
        <v>0</v>
      </c>
      <c r="N4" s="13"/>
      <c r="O4" s="13"/>
      <c r="P4" s="13"/>
      <c r="Q4" s="15">
        <f t="shared" si="3"/>
        <v>0</v>
      </c>
      <c r="R4" s="13"/>
    </row>
    <row r="5" spans="1:18">
      <c r="A5" s="1" t="s">
        <v>14</v>
      </c>
      <c r="B5" s="13"/>
      <c r="C5" s="13"/>
      <c r="D5" s="13"/>
      <c r="E5" s="14">
        <f t="shared" si="0"/>
        <v>0</v>
      </c>
      <c r="F5" s="13"/>
      <c r="G5" s="13"/>
      <c r="H5" s="13"/>
      <c r="I5" s="14">
        <f t="shared" si="1"/>
        <v>0</v>
      </c>
      <c r="J5" s="13"/>
      <c r="K5" s="13"/>
      <c r="L5" s="13"/>
      <c r="M5" s="14">
        <f t="shared" si="2"/>
        <v>0</v>
      </c>
      <c r="N5" s="13"/>
      <c r="O5" s="13"/>
      <c r="P5" s="13"/>
      <c r="Q5" s="15">
        <f t="shared" si="3"/>
        <v>0</v>
      </c>
      <c r="R5" s="13"/>
    </row>
    <row r="6" spans="1:18">
      <c r="A6" s="1" t="s">
        <v>24</v>
      </c>
      <c r="B6" s="13"/>
      <c r="C6" s="13"/>
      <c r="D6" s="13"/>
      <c r="E6" s="14">
        <f t="shared" si="0"/>
        <v>0</v>
      </c>
      <c r="F6" s="13"/>
      <c r="G6" s="13"/>
      <c r="H6" s="13"/>
      <c r="I6" s="14">
        <f t="shared" si="1"/>
        <v>0</v>
      </c>
      <c r="J6" s="13"/>
      <c r="K6" s="13"/>
      <c r="L6" s="13"/>
      <c r="M6" s="14">
        <f t="shared" si="2"/>
        <v>0</v>
      </c>
      <c r="N6" s="13"/>
      <c r="O6" s="13"/>
      <c r="P6" s="13"/>
      <c r="Q6" s="15">
        <f t="shared" si="3"/>
        <v>0</v>
      </c>
      <c r="R6" s="13"/>
    </row>
    <row r="7" spans="1:18">
      <c r="A7" s="1" t="s">
        <v>25</v>
      </c>
      <c r="B7" s="13"/>
      <c r="C7" s="13"/>
      <c r="D7" s="13"/>
      <c r="E7" s="14">
        <f t="shared" si="0"/>
        <v>0</v>
      </c>
      <c r="F7" s="13"/>
      <c r="G7" s="13"/>
      <c r="H7" s="13"/>
      <c r="I7" s="14">
        <f t="shared" si="1"/>
        <v>0</v>
      </c>
      <c r="J7" s="13"/>
      <c r="K7" s="13"/>
      <c r="L7" s="13"/>
      <c r="M7" s="14">
        <f t="shared" si="2"/>
        <v>0</v>
      </c>
      <c r="N7" s="13"/>
      <c r="O7" s="13"/>
      <c r="P7" s="13"/>
      <c r="Q7" s="15">
        <f t="shared" si="3"/>
        <v>0</v>
      </c>
      <c r="R7" s="13"/>
    </row>
    <row r="8" spans="1:18">
      <c r="A8" s="1" t="s">
        <v>17</v>
      </c>
      <c r="B8" s="13"/>
      <c r="C8" s="13"/>
      <c r="D8" s="13"/>
      <c r="E8" s="14">
        <f t="shared" si="0"/>
        <v>0</v>
      </c>
      <c r="F8" s="13"/>
      <c r="G8" s="13"/>
      <c r="H8" s="13"/>
      <c r="I8" s="14">
        <f t="shared" si="1"/>
        <v>0</v>
      </c>
      <c r="J8" s="13"/>
      <c r="K8" s="13"/>
      <c r="L8" s="13"/>
      <c r="M8" s="14">
        <f t="shared" si="2"/>
        <v>0</v>
      </c>
      <c r="N8" s="13"/>
      <c r="O8" s="13"/>
      <c r="P8" s="13">
        <v>10943.26</v>
      </c>
      <c r="Q8" s="15">
        <f t="shared" si="3"/>
        <v>10943.26</v>
      </c>
      <c r="R8" s="13">
        <f>SUM(E8+I8+M8+Q8)</f>
        <v>10943.26</v>
      </c>
    </row>
    <row r="9" spans="1:18">
      <c r="A9" s="4" t="s">
        <v>22</v>
      </c>
      <c r="B9" s="16">
        <f t="shared" ref="B9:R9" si="4">SUM(B3:B8)</f>
        <v>0</v>
      </c>
      <c r="C9" s="16">
        <f t="shared" si="4"/>
        <v>0</v>
      </c>
      <c r="D9" s="16">
        <f t="shared" si="4"/>
        <v>0</v>
      </c>
      <c r="E9" s="16">
        <f t="shared" si="4"/>
        <v>0</v>
      </c>
      <c r="F9" s="16">
        <f t="shared" si="4"/>
        <v>0</v>
      </c>
      <c r="G9" s="16">
        <f t="shared" si="4"/>
        <v>0</v>
      </c>
      <c r="H9" s="16">
        <f t="shared" si="4"/>
        <v>0</v>
      </c>
      <c r="I9" s="16">
        <f t="shared" si="4"/>
        <v>0</v>
      </c>
      <c r="J9" s="16">
        <f t="shared" si="4"/>
        <v>0</v>
      </c>
      <c r="K9" s="16">
        <f t="shared" si="4"/>
        <v>0</v>
      </c>
      <c r="L9" s="16">
        <f t="shared" si="4"/>
        <v>0</v>
      </c>
      <c r="M9" s="16">
        <f t="shared" si="4"/>
        <v>0</v>
      </c>
      <c r="N9" s="16">
        <f t="shared" si="4"/>
        <v>0</v>
      </c>
      <c r="O9" s="16">
        <f t="shared" si="4"/>
        <v>0</v>
      </c>
      <c r="P9" s="16">
        <f t="shared" si="4"/>
        <v>10943.26</v>
      </c>
      <c r="Q9" s="17">
        <f t="shared" si="4"/>
        <v>10943.26</v>
      </c>
      <c r="R9" s="16">
        <f t="shared" si="4"/>
        <v>10943.26</v>
      </c>
    </row>
    <row r="10" spans="1:18">
      <c r="A10" s="1" t="s">
        <v>28</v>
      </c>
      <c r="B10" s="13">
        <f>2220+1022.99</f>
        <v>3242.99</v>
      </c>
      <c r="C10" s="13">
        <f>1950+1071.75+2399.99</f>
        <v>5421.74</v>
      </c>
      <c r="D10" s="13">
        <v>1058.5999999999999</v>
      </c>
      <c r="E10" s="14">
        <f>SUM(B10:D10)</f>
        <v>9723.33</v>
      </c>
      <c r="F10" s="13">
        <f>2106.01+929.82</f>
        <v>3035.8300000000004</v>
      </c>
      <c r="G10" s="13">
        <v>2468.4</v>
      </c>
      <c r="H10" s="13">
        <v>3878.05</v>
      </c>
      <c r="I10" s="14">
        <f>SUM(F10:H10)</f>
        <v>9382.2800000000007</v>
      </c>
      <c r="J10" s="13"/>
      <c r="K10" s="13"/>
      <c r="L10" s="13">
        <v>1456.46</v>
      </c>
      <c r="M10" s="14">
        <f>SUM(J10:L10)</f>
        <v>1456.46</v>
      </c>
      <c r="N10" s="13"/>
      <c r="O10" s="13"/>
      <c r="P10" s="13">
        <v>3776.77</v>
      </c>
      <c r="Q10" s="15">
        <f>SUM(N10:P10)</f>
        <v>3776.77</v>
      </c>
      <c r="R10" s="13">
        <f>+E10+I10+M10+Q10</f>
        <v>24338.84</v>
      </c>
    </row>
    <row r="11" spans="1:18">
      <c r="A11" s="1" t="s">
        <v>29</v>
      </c>
      <c r="B11" s="13">
        <v>266.67</v>
      </c>
      <c r="C11" s="13">
        <v>266.67</v>
      </c>
      <c r="D11" s="13">
        <f>276.78+1032.63</f>
        <v>1309.4100000000001</v>
      </c>
      <c r="E11" s="14">
        <f t="shared" ref="E11:E16" si="5">SUM(B11:D11)</f>
        <v>1842.75</v>
      </c>
      <c r="F11" s="13">
        <v>285.89999999999998</v>
      </c>
      <c r="G11" s="13">
        <v>285.89999999999998</v>
      </c>
      <c r="H11" s="13">
        <v>285.89999999999998</v>
      </c>
      <c r="I11" s="14">
        <f t="shared" ref="I11:I16" si="6">SUM(F11:H11)</f>
        <v>857.69999999999993</v>
      </c>
      <c r="J11" s="13" t="s">
        <v>31</v>
      </c>
      <c r="K11" s="13">
        <v>285.89999999999998</v>
      </c>
      <c r="L11" s="13">
        <v>285.89999999999998</v>
      </c>
      <c r="M11" s="14">
        <f t="shared" ref="M11:M16" si="7">SUM(J11:L11)</f>
        <v>571.79999999999995</v>
      </c>
      <c r="N11" s="13">
        <v>285.89999999999998</v>
      </c>
      <c r="O11" s="13">
        <v>285.89999999999998</v>
      </c>
      <c r="P11" s="13">
        <v>285.89999999999998</v>
      </c>
      <c r="Q11" s="15">
        <f t="shared" ref="Q11:Q16" si="8">SUM(N11:P11)</f>
        <v>857.69999999999993</v>
      </c>
      <c r="R11" s="13">
        <f t="shared" ref="R11:R16" si="9">+E11+I11+M11+Q11</f>
        <v>4129.95</v>
      </c>
    </row>
    <row r="12" spans="1:18">
      <c r="A12" s="1" t="s">
        <v>30</v>
      </c>
      <c r="B12" s="13">
        <v>1549.5</v>
      </c>
      <c r="C12" s="13"/>
      <c r="D12" s="13">
        <f>1549.5-184.95</f>
        <v>1364.55</v>
      </c>
      <c r="E12" s="14">
        <f t="shared" si="5"/>
        <v>2914.05</v>
      </c>
      <c r="F12" s="13"/>
      <c r="G12" s="13">
        <v>1456.46</v>
      </c>
      <c r="H12" s="13"/>
      <c r="I12" s="14">
        <f t="shared" si="6"/>
        <v>1456.46</v>
      </c>
      <c r="J12" s="13">
        <v>1456.46</v>
      </c>
      <c r="K12" s="13"/>
      <c r="L12" s="13"/>
      <c r="M12" s="14">
        <f t="shared" si="7"/>
        <v>1456.46</v>
      </c>
      <c r="N12" s="13"/>
      <c r="O12" s="13">
        <v>1456.46</v>
      </c>
      <c r="P12" s="13"/>
      <c r="Q12" s="15">
        <f t="shared" si="8"/>
        <v>1456.46</v>
      </c>
      <c r="R12" s="13">
        <f t="shared" si="9"/>
        <v>7283.43</v>
      </c>
    </row>
    <row r="13" spans="1:18">
      <c r="A13" s="1" t="s">
        <v>32</v>
      </c>
      <c r="B13" s="13"/>
      <c r="C13" s="13"/>
      <c r="D13" s="13"/>
      <c r="E13" s="14">
        <f t="shared" si="5"/>
        <v>0</v>
      </c>
      <c r="F13" s="13">
        <v>536.67999999999995</v>
      </c>
      <c r="G13" s="13"/>
      <c r="H13" s="13">
        <v>7.2</v>
      </c>
      <c r="I13" s="14">
        <f t="shared" si="6"/>
        <v>543.88</v>
      </c>
      <c r="J13" s="13">
        <f>1815+278.3+7.1</f>
        <v>2100.4</v>
      </c>
      <c r="K13" s="13">
        <v>90.93</v>
      </c>
      <c r="L13" s="13"/>
      <c r="M13" s="14">
        <f t="shared" si="7"/>
        <v>2191.33</v>
      </c>
      <c r="N13" s="13">
        <f>14.4+121.35</f>
        <v>135.75</v>
      </c>
      <c r="O13" s="13">
        <v>152.71</v>
      </c>
      <c r="P13" s="13">
        <f>347.39+15.75</f>
        <v>363.14</v>
      </c>
      <c r="Q13" s="15">
        <f t="shared" si="8"/>
        <v>651.6</v>
      </c>
      <c r="R13" s="13">
        <f t="shared" si="9"/>
        <v>3386.81</v>
      </c>
    </row>
    <row r="14" spans="1:18">
      <c r="A14" s="1" t="s">
        <v>33</v>
      </c>
      <c r="B14" s="13">
        <v>224.49</v>
      </c>
      <c r="C14" s="13">
        <f>+267.4+1027.5</f>
        <v>1294.9000000000001</v>
      </c>
      <c r="D14" s="13">
        <f>1610.2+293.85</f>
        <v>1904.0500000000002</v>
      </c>
      <c r="E14" s="14">
        <f t="shared" si="5"/>
        <v>3423.4400000000005</v>
      </c>
      <c r="F14" s="13">
        <f>233.68+1119.07</f>
        <v>1352.75</v>
      </c>
      <c r="G14" s="13">
        <f>190.21+1347.26</f>
        <v>1537.47</v>
      </c>
      <c r="H14" s="13">
        <f>200.92+1291.37</f>
        <v>1492.29</v>
      </c>
      <c r="I14" s="14">
        <f t="shared" si="6"/>
        <v>4382.51</v>
      </c>
      <c r="J14" s="13">
        <f>1274.63+149.39</f>
        <v>1424.02</v>
      </c>
      <c r="K14" s="13">
        <f>72.78+1020.97</f>
        <v>1093.75</v>
      </c>
      <c r="L14" s="13">
        <f>717.2+67.98</f>
        <v>785.18000000000006</v>
      </c>
      <c r="M14" s="14">
        <f t="shared" si="7"/>
        <v>3302.95</v>
      </c>
      <c r="N14" s="13">
        <v>729.96</v>
      </c>
      <c r="O14" s="13">
        <f>1063.58+236.91</f>
        <v>1300.49</v>
      </c>
      <c r="P14" s="13">
        <f>245.58+1494.82+1468.12</f>
        <v>3208.5199999999995</v>
      </c>
      <c r="Q14" s="15">
        <f t="shared" si="8"/>
        <v>5238.9699999999993</v>
      </c>
      <c r="R14" s="13">
        <f t="shared" si="9"/>
        <v>16347.87</v>
      </c>
    </row>
    <row r="15" spans="1:18">
      <c r="A15" s="1" t="s">
        <v>34</v>
      </c>
      <c r="B15" s="1"/>
      <c r="C15" s="13">
        <f>133.17+209.44+133.17</f>
        <v>475.78</v>
      </c>
      <c r="D15" s="13"/>
      <c r="E15" s="14">
        <f t="shared" si="5"/>
        <v>475.78</v>
      </c>
      <c r="F15" s="13">
        <f>191.72+35.72+190.11</f>
        <v>417.55</v>
      </c>
      <c r="G15" s="13"/>
      <c r="H15" s="13">
        <f>188.25+206.23+58.82</f>
        <v>453.3</v>
      </c>
      <c r="I15" s="14">
        <f t="shared" si="6"/>
        <v>870.85</v>
      </c>
      <c r="J15" s="13"/>
      <c r="K15" s="13">
        <f>15.22+48.24+183.67</f>
        <v>247.13</v>
      </c>
      <c r="L15" s="13"/>
      <c r="M15" s="14">
        <f t="shared" si="7"/>
        <v>247.13</v>
      </c>
      <c r="N15" s="13">
        <f>63.34+107.25+196.55</f>
        <v>367.14</v>
      </c>
      <c r="O15" s="13"/>
      <c r="P15" s="13">
        <f>36.17+94.05+186.89</f>
        <v>317.11</v>
      </c>
      <c r="Q15" s="15">
        <f t="shared" si="8"/>
        <v>684.25</v>
      </c>
      <c r="R15" s="13">
        <f t="shared" si="9"/>
        <v>2278.0100000000002</v>
      </c>
    </row>
    <row r="16" spans="1:18">
      <c r="A16" s="1" t="s">
        <v>35</v>
      </c>
      <c r="B16" s="1">
        <v>38.65</v>
      </c>
      <c r="C16" s="1">
        <v>38.65</v>
      </c>
      <c r="D16" s="1">
        <v>38.65</v>
      </c>
      <c r="E16" s="14">
        <f t="shared" si="5"/>
        <v>115.94999999999999</v>
      </c>
      <c r="F16" s="1">
        <v>38.65</v>
      </c>
      <c r="G16" s="1">
        <v>38.65</v>
      </c>
      <c r="H16" s="1">
        <v>38.65</v>
      </c>
      <c r="I16" s="14">
        <f t="shared" si="6"/>
        <v>115.94999999999999</v>
      </c>
      <c r="J16" s="1">
        <v>38.65</v>
      </c>
      <c r="K16" s="1">
        <v>38.65</v>
      </c>
      <c r="L16" s="1">
        <v>38.65</v>
      </c>
      <c r="M16" s="14">
        <f t="shared" si="7"/>
        <v>115.94999999999999</v>
      </c>
      <c r="N16" s="1">
        <v>38.65</v>
      </c>
      <c r="O16" s="1">
        <v>38.65</v>
      </c>
      <c r="P16" s="13">
        <v>32.840000000000003</v>
      </c>
      <c r="Q16" s="15">
        <f t="shared" si="8"/>
        <v>110.14</v>
      </c>
      <c r="R16" s="13">
        <f t="shared" si="9"/>
        <v>457.98999999999995</v>
      </c>
    </row>
    <row r="17" spans="1:18">
      <c r="A17" s="1"/>
      <c r="B17" s="1"/>
      <c r="C17" s="13"/>
      <c r="D17" s="13"/>
      <c r="E17" s="14"/>
      <c r="F17" s="13"/>
      <c r="G17" s="13"/>
      <c r="H17" s="13"/>
      <c r="I17" s="14"/>
      <c r="J17" s="13"/>
      <c r="K17" s="13"/>
      <c r="L17" s="13"/>
      <c r="M17" s="14"/>
      <c r="N17" s="13"/>
      <c r="O17" s="13"/>
      <c r="P17" s="13"/>
      <c r="Q17" s="15"/>
      <c r="R17" s="13"/>
    </row>
    <row r="18" spans="1:18">
      <c r="A18" s="1" t="s">
        <v>36</v>
      </c>
      <c r="B18" s="13">
        <v>1182.23</v>
      </c>
      <c r="C18" s="13">
        <v>1182.23</v>
      </c>
      <c r="D18" s="13">
        <v>1182.23</v>
      </c>
      <c r="E18" s="14">
        <f>SUM(B18:D18)</f>
        <v>3546.69</v>
      </c>
      <c r="F18" s="13">
        <v>1182.23</v>
      </c>
      <c r="G18" s="13">
        <v>1182.23</v>
      </c>
      <c r="H18" s="13">
        <f>1182.24+1182.23</f>
        <v>2364.4700000000003</v>
      </c>
      <c r="I18" s="14">
        <f>SUM(F18:H18)</f>
        <v>4728.93</v>
      </c>
      <c r="J18" s="13">
        <v>1182.23</v>
      </c>
      <c r="K18" s="13">
        <v>1182.23</v>
      </c>
      <c r="L18" s="13">
        <v>1191.08</v>
      </c>
      <c r="M18" s="14">
        <f>SUM(J18:L18)</f>
        <v>3555.54</v>
      </c>
      <c r="N18" s="13">
        <v>1185.18</v>
      </c>
      <c r="O18" s="13">
        <v>1185.18</v>
      </c>
      <c r="P18" s="13">
        <f>1185.18+1185.18</f>
        <v>2370.36</v>
      </c>
      <c r="Q18" s="15">
        <f>SUM(N18:P18)</f>
        <v>4740.72</v>
      </c>
      <c r="R18" s="13">
        <f>+E18+I18+M18+Q18</f>
        <v>16571.88</v>
      </c>
    </row>
    <row r="19" spans="1:18">
      <c r="A19" s="1" t="s">
        <v>16</v>
      </c>
      <c r="B19" s="13"/>
      <c r="C19" s="13"/>
      <c r="D19" s="13"/>
      <c r="E19" s="14">
        <f>SUM(B19:D19)</f>
        <v>0</v>
      </c>
      <c r="F19" s="13">
        <v>49.29</v>
      </c>
      <c r="G19" s="13"/>
      <c r="H19" s="13"/>
      <c r="I19" s="14">
        <f>SUM(F19:H19)</f>
        <v>49.29</v>
      </c>
      <c r="J19" s="13"/>
      <c r="K19" s="13"/>
      <c r="L19" s="13"/>
      <c r="M19" s="14">
        <f>SUM(J19:L19)</f>
        <v>0</v>
      </c>
      <c r="N19" s="13"/>
      <c r="O19" s="13"/>
      <c r="P19" s="13"/>
      <c r="Q19" s="14">
        <f>SUM(N19:P19)</f>
        <v>0</v>
      </c>
      <c r="R19" s="13">
        <f>+E19+I19+M19+Q19</f>
        <v>49.29</v>
      </c>
    </row>
    <row r="20" spans="1:18">
      <c r="A20" s="1" t="s">
        <v>37</v>
      </c>
      <c r="B20" s="13">
        <v>504.82</v>
      </c>
      <c r="C20" s="13">
        <v>504.82</v>
      </c>
      <c r="D20" s="13">
        <v>504.82</v>
      </c>
      <c r="E20" s="14">
        <f t="shared" ref="E20:E22" si="10">SUM(B20:D20)</f>
        <v>1514.46</v>
      </c>
      <c r="F20" s="13">
        <v>522.86</v>
      </c>
      <c r="G20" s="13">
        <v>504.82</v>
      </c>
      <c r="H20" s="13">
        <v>366.9</v>
      </c>
      <c r="I20" s="14">
        <f>SUM(F20:H20)</f>
        <v>1394.58</v>
      </c>
      <c r="J20" s="13">
        <v>504.82</v>
      </c>
      <c r="K20" s="13">
        <v>516.84</v>
      </c>
      <c r="L20" s="13">
        <v>508.23</v>
      </c>
      <c r="M20" s="14">
        <f t="shared" ref="M20:M22" si="11">SUM(J20:L20)</f>
        <v>1529.89</v>
      </c>
      <c r="N20" s="13">
        <v>506.07</v>
      </c>
      <c r="O20" s="13">
        <v>506.07</v>
      </c>
      <c r="P20" s="13">
        <v>506.07</v>
      </c>
      <c r="Q20" s="14">
        <f t="shared" ref="Q20:Q22" si="12">SUM(N20:P20)</f>
        <v>1518.21</v>
      </c>
      <c r="R20" s="13">
        <f t="shared" ref="R20:R22" si="13">+E20+I20+M20+Q20</f>
        <v>5957.14</v>
      </c>
    </row>
    <row r="21" spans="1:18">
      <c r="A21" s="1" t="s">
        <v>38</v>
      </c>
      <c r="B21" s="13">
        <f>505.86+892.01+915.19+972.37</f>
        <v>3285.43</v>
      </c>
      <c r="C21" s="13">
        <f>505.86+855.14+972.37+915.19</f>
        <v>3248.56</v>
      </c>
      <c r="D21" s="13">
        <f>505.86+905.35+972.37+915.19</f>
        <v>3298.77</v>
      </c>
      <c r="E21" s="14">
        <f t="shared" si="10"/>
        <v>9832.76</v>
      </c>
      <c r="F21" s="13">
        <f>505.86+892.55+972.37+915.19</f>
        <v>3285.97</v>
      </c>
      <c r="G21" s="13">
        <f>505.86+930.95+972.37+915.19</f>
        <v>3324.37</v>
      </c>
      <c r="H21" s="13">
        <f>505.86+505.87+985.63+854.15+972.37+973.37+915.19+915.19</f>
        <v>6627.630000000001</v>
      </c>
      <c r="I21" s="14">
        <f t="shared" ref="I21:I22" si="14">SUM(F21:H21)</f>
        <v>13237.970000000001</v>
      </c>
      <c r="J21" s="13">
        <f>505.86+854.15+972.37+884.68</f>
        <v>3217.06</v>
      </c>
      <c r="K21" s="13">
        <f>505.86+597.91+972.37+915.19</f>
        <v>2991.33</v>
      </c>
      <c r="L21" s="13">
        <f>+509.66+261.15+464.46+979+66+919.77</f>
        <v>3200.04</v>
      </c>
      <c r="M21" s="14">
        <f t="shared" si="11"/>
        <v>9408.43</v>
      </c>
      <c r="N21" s="13">
        <f>507.13+662.28+974.81+915.19</f>
        <v>3059.41</v>
      </c>
      <c r="O21" s="13">
        <f>507.13+662.28+974.8+915.19</f>
        <v>3059.4</v>
      </c>
      <c r="P21" s="13">
        <f>543.36+507.13+709.6+338.43+974.8+974.8+917.44+915.19</f>
        <v>5880.75</v>
      </c>
      <c r="Q21" s="14">
        <f t="shared" si="12"/>
        <v>11999.56</v>
      </c>
      <c r="R21" s="13">
        <f t="shared" si="13"/>
        <v>44478.720000000001</v>
      </c>
    </row>
    <row r="22" spans="1:18">
      <c r="A22" s="1" t="s">
        <v>39</v>
      </c>
      <c r="B22" s="13"/>
      <c r="C22" s="13"/>
      <c r="D22" s="13"/>
      <c r="E22" s="14">
        <f t="shared" si="10"/>
        <v>0</v>
      </c>
      <c r="F22" s="13"/>
      <c r="G22" s="13"/>
      <c r="H22" s="13"/>
      <c r="I22" s="14">
        <f t="shared" si="14"/>
        <v>0</v>
      </c>
      <c r="J22" s="13"/>
      <c r="K22" s="13"/>
      <c r="L22" s="13"/>
      <c r="M22" s="14">
        <f t="shared" si="11"/>
        <v>0</v>
      </c>
      <c r="N22" s="13"/>
      <c r="O22" s="13">
        <v>26.42</v>
      </c>
      <c r="P22" s="13"/>
      <c r="Q22" s="14">
        <f t="shared" si="12"/>
        <v>26.42</v>
      </c>
      <c r="R22" s="13">
        <f t="shared" si="13"/>
        <v>26.42</v>
      </c>
    </row>
    <row r="23" spans="1:18">
      <c r="A23" s="26" t="s">
        <v>40</v>
      </c>
      <c r="B23" s="13">
        <f>204.78+370.5+380.04+358.16</f>
        <v>1313.48</v>
      </c>
      <c r="C23" s="13">
        <f>380.04+204.78+370.5+338.67</f>
        <v>1293.99</v>
      </c>
      <c r="D23" s="13">
        <f>380.04+204.78+370.5+363.56</f>
        <v>1318.88</v>
      </c>
      <c r="E23" s="14">
        <f>SUM(B23:D23)</f>
        <v>3926.3500000000004</v>
      </c>
      <c r="F23">
        <f>380.04+204.78+370.5+359.11</f>
        <v>1314.43</v>
      </c>
      <c r="G23" s="13">
        <f>380.04+204.78+370.5+372.44</f>
        <v>1327.76</v>
      </c>
      <c r="H23" s="13">
        <f>380.04+204.78+370.5+391.42</f>
        <v>1346.74</v>
      </c>
      <c r="I23" s="14">
        <f>SUM(F23:H23)</f>
        <v>3988.9300000000003</v>
      </c>
      <c r="J23" s="13">
        <f>380.04+204.78+370.5+338.67</f>
        <v>1293.99</v>
      </c>
      <c r="K23" s="13">
        <f>380.04+204.78+370.5</f>
        <v>955.32</v>
      </c>
      <c r="L23" s="13">
        <f>382.6+206.18+372.08+197.69</f>
        <v>1158.55</v>
      </c>
      <c r="M23" s="14">
        <f>SUM(J23:L23)</f>
        <v>3407.8599999999997</v>
      </c>
      <c r="N23" s="13">
        <f>381.52+205.29+370.5+277.87</f>
        <v>1235.1799999999998</v>
      </c>
      <c r="O23" s="13">
        <f>214.47+370.5+268.12-331.15</f>
        <v>521.94000000000005</v>
      </c>
      <c r="P23" s="13">
        <f>219.97+371.42+287.28+201.69+352.99-502.45</f>
        <v>930.89999999999986</v>
      </c>
      <c r="Q23" s="15">
        <f>SUM(N23:P23)</f>
        <v>2688.0199999999995</v>
      </c>
      <c r="R23" s="13">
        <f>+E23+I23+M23+Q23</f>
        <v>14011.16</v>
      </c>
    </row>
    <row r="24" spans="1:18">
      <c r="A24" s="5" t="s">
        <v>23</v>
      </c>
      <c r="B24" s="18">
        <f>SUM(B10:B23)</f>
        <v>11608.259999999998</v>
      </c>
      <c r="C24" s="18">
        <f t="shared" ref="C24:P24" si="15">SUM(C10:C23)</f>
        <v>13727.339999999998</v>
      </c>
      <c r="D24" s="18">
        <f t="shared" si="15"/>
        <v>11979.96</v>
      </c>
      <c r="E24" s="18">
        <f t="shared" si="15"/>
        <v>37315.56</v>
      </c>
      <c r="F24" s="18">
        <f>SUM(F10:F22)</f>
        <v>10707.71</v>
      </c>
      <c r="G24" s="18">
        <f t="shared" si="15"/>
        <v>12126.06</v>
      </c>
      <c r="H24" s="18">
        <f t="shared" si="15"/>
        <v>16861.13</v>
      </c>
      <c r="I24" s="18">
        <f t="shared" si="15"/>
        <v>41009.33</v>
      </c>
      <c r="J24" s="18">
        <f t="shared" si="15"/>
        <v>11217.63</v>
      </c>
      <c r="K24" s="18">
        <f t="shared" si="15"/>
        <v>7402.08</v>
      </c>
      <c r="L24" s="18">
        <f t="shared" si="15"/>
        <v>8624.09</v>
      </c>
      <c r="M24" s="18">
        <f t="shared" si="15"/>
        <v>27243.8</v>
      </c>
      <c r="N24" s="18">
        <f t="shared" si="15"/>
        <v>7543.24</v>
      </c>
      <c r="O24" s="18">
        <f t="shared" si="15"/>
        <v>8533.2200000000012</v>
      </c>
      <c r="P24" s="18">
        <f t="shared" si="15"/>
        <v>17672.36</v>
      </c>
      <c r="Q24" s="19">
        <f t="shared" ref="Q24" si="16">SUM(Q10:Q23)</f>
        <v>33748.819999999992</v>
      </c>
      <c r="R24" s="18">
        <f t="shared" ref="R24" si="17">SUM(R10:R23)</f>
        <v>139317.50999999998</v>
      </c>
    </row>
    <row r="25" spans="1:18">
      <c r="A25" s="1"/>
      <c r="B25" s="13"/>
      <c r="C25" s="13"/>
      <c r="D25" s="13"/>
      <c r="E25" s="14"/>
      <c r="F25" s="13"/>
      <c r="G25" s="13"/>
      <c r="H25" s="13"/>
      <c r="I25" s="14"/>
      <c r="J25" s="13"/>
      <c r="K25" s="13"/>
      <c r="L25" s="13"/>
      <c r="M25" s="14"/>
      <c r="N25" s="13"/>
      <c r="O25" s="13"/>
      <c r="P25" s="13"/>
      <c r="Q25" s="15"/>
      <c r="R25" s="13"/>
    </row>
    <row r="26" spans="1:18">
      <c r="A26" s="1"/>
      <c r="B26" s="13"/>
      <c r="C26" s="13"/>
      <c r="D26" s="13"/>
      <c r="E26" s="14"/>
      <c r="F26" s="13"/>
      <c r="G26" s="13"/>
      <c r="H26" s="13"/>
      <c r="I26" s="14"/>
      <c r="J26" s="13"/>
      <c r="K26" s="13"/>
      <c r="L26" s="13"/>
      <c r="M26" s="14"/>
      <c r="N26" s="13"/>
      <c r="O26" s="13"/>
      <c r="P26" s="13"/>
      <c r="Q26" s="15"/>
      <c r="R26" s="13"/>
    </row>
    <row r="27" spans="1:18">
      <c r="A27" s="6" t="s">
        <v>15</v>
      </c>
      <c r="B27" s="20">
        <f>B9-B24</f>
        <v>-11608.259999999998</v>
      </c>
      <c r="C27" s="20">
        <f t="shared" ref="C27:R27" si="18">C9-C24</f>
        <v>-13727.339999999998</v>
      </c>
      <c r="D27" s="20">
        <f t="shared" si="18"/>
        <v>-11979.96</v>
      </c>
      <c r="E27" s="20">
        <f t="shared" si="18"/>
        <v>-37315.56</v>
      </c>
      <c r="F27" s="20">
        <f t="shared" si="18"/>
        <v>-10707.71</v>
      </c>
      <c r="G27" s="20">
        <f t="shared" si="18"/>
        <v>-12126.06</v>
      </c>
      <c r="H27" s="20">
        <f t="shared" si="18"/>
        <v>-16861.13</v>
      </c>
      <c r="I27" s="20">
        <f t="shared" si="18"/>
        <v>-41009.33</v>
      </c>
      <c r="J27" s="20">
        <f t="shared" si="18"/>
        <v>-11217.63</v>
      </c>
      <c r="K27" s="20">
        <f t="shared" si="18"/>
        <v>-7402.08</v>
      </c>
      <c r="L27" s="20">
        <f t="shared" si="18"/>
        <v>-8624.09</v>
      </c>
      <c r="M27" s="20">
        <f t="shared" si="18"/>
        <v>-27243.8</v>
      </c>
      <c r="N27" s="20">
        <f t="shared" si="18"/>
        <v>-7543.24</v>
      </c>
      <c r="O27" s="20">
        <f t="shared" si="18"/>
        <v>-8533.2200000000012</v>
      </c>
      <c r="P27" s="20">
        <f t="shared" si="18"/>
        <v>-6729.1</v>
      </c>
      <c r="Q27" s="21">
        <f t="shared" si="18"/>
        <v>-22805.55999999999</v>
      </c>
      <c r="R27" s="20">
        <f t="shared" si="18"/>
        <v>-128374.24999999999</v>
      </c>
    </row>
    <row r="31" spans="1:18">
      <c r="A31" s="12">
        <v>2020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9"/>
    </row>
    <row r="32" spans="1:18">
      <c r="A32" s="1"/>
      <c r="B32" s="2" t="s">
        <v>0</v>
      </c>
      <c r="C32" s="2" t="s">
        <v>1</v>
      </c>
      <c r="D32" s="2" t="s">
        <v>2</v>
      </c>
      <c r="E32" s="3" t="s">
        <v>21</v>
      </c>
      <c r="F32" s="2" t="s">
        <v>3</v>
      </c>
      <c r="G32" s="2" t="s">
        <v>4</v>
      </c>
      <c r="H32" s="2" t="s">
        <v>5</v>
      </c>
      <c r="I32" s="3" t="s">
        <v>18</v>
      </c>
      <c r="J32" s="2" t="s">
        <v>6</v>
      </c>
      <c r="K32" s="2" t="s">
        <v>7</v>
      </c>
      <c r="L32" s="2" t="s">
        <v>8</v>
      </c>
      <c r="M32" s="3" t="s">
        <v>19</v>
      </c>
      <c r="N32" s="2" t="s">
        <v>9</v>
      </c>
      <c r="O32" s="2" t="s">
        <v>10</v>
      </c>
      <c r="P32" s="2" t="s">
        <v>11</v>
      </c>
      <c r="Q32" s="7" t="s">
        <v>20</v>
      </c>
      <c r="R32" s="8" t="s">
        <v>26</v>
      </c>
    </row>
    <row r="33" spans="1:18">
      <c r="A33" s="1" t="s">
        <v>12</v>
      </c>
      <c r="B33" s="13"/>
      <c r="C33" s="13"/>
      <c r="D33" s="13"/>
      <c r="E33" s="14">
        <f t="shared" ref="E33:E52" si="19">SUM(B33:D33)</f>
        <v>0</v>
      </c>
      <c r="F33" s="13"/>
      <c r="G33" s="13"/>
      <c r="H33" s="13"/>
      <c r="I33" s="14">
        <f t="shared" ref="I33:I38" si="20">SUM(F33:H33)</f>
        <v>0</v>
      </c>
      <c r="J33" s="13"/>
      <c r="K33" s="13"/>
      <c r="L33" s="13"/>
      <c r="M33" s="14">
        <f t="shared" ref="M33:M38" si="21">SUM(J33:L33)</f>
        <v>0</v>
      </c>
      <c r="N33" s="13"/>
      <c r="O33" s="13"/>
      <c r="P33" s="13"/>
      <c r="Q33" s="15">
        <f t="shared" ref="Q33:Q38" si="22">SUM(N33:P33)</f>
        <v>0</v>
      </c>
      <c r="R33" s="13"/>
    </row>
    <row r="34" spans="1:18">
      <c r="A34" s="1" t="s">
        <v>13</v>
      </c>
      <c r="B34" s="13"/>
      <c r="C34" s="13"/>
      <c r="D34" s="13"/>
      <c r="E34" s="14">
        <f t="shared" si="19"/>
        <v>0</v>
      </c>
      <c r="F34" s="13"/>
      <c r="G34" s="13"/>
      <c r="H34" s="13"/>
      <c r="I34" s="14">
        <f t="shared" si="20"/>
        <v>0</v>
      </c>
      <c r="J34" s="13"/>
      <c r="K34" s="13"/>
      <c r="L34" s="13"/>
      <c r="M34" s="14">
        <f t="shared" si="21"/>
        <v>0</v>
      </c>
      <c r="N34" s="13"/>
      <c r="O34" s="13"/>
      <c r="P34" s="13"/>
      <c r="Q34" s="15">
        <f t="shared" si="22"/>
        <v>0</v>
      </c>
      <c r="R34" s="13"/>
    </row>
    <row r="35" spans="1:18">
      <c r="A35" s="1" t="s">
        <v>14</v>
      </c>
      <c r="B35" s="13"/>
      <c r="C35" s="13"/>
      <c r="D35" s="13"/>
      <c r="E35" s="14">
        <f t="shared" si="19"/>
        <v>0</v>
      </c>
      <c r="F35" s="13"/>
      <c r="G35" s="13"/>
      <c r="H35" s="13"/>
      <c r="I35" s="14">
        <f t="shared" si="20"/>
        <v>0</v>
      </c>
      <c r="J35" s="13"/>
      <c r="K35" s="13"/>
      <c r="L35" s="13"/>
      <c r="M35" s="14">
        <f t="shared" si="21"/>
        <v>0</v>
      </c>
      <c r="N35" s="13"/>
      <c r="O35" s="13"/>
      <c r="P35" s="13"/>
      <c r="Q35" s="15">
        <f t="shared" si="22"/>
        <v>0</v>
      </c>
      <c r="R35" s="13"/>
    </row>
    <row r="36" spans="1:18">
      <c r="A36" s="1" t="s">
        <v>24</v>
      </c>
      <c r="B36" s="13"/>
      <c r="C36" s="13"/>
      <c r="D36" s="13"/>
      <c r="E36" s="14">
        <f t="shared" si="19"/>
        <v>0</v>
      </c>
      <c r="F36" s="13"/>
      <c r="G36" s="13"/>
      <c r="H36" s="13"/>
      <c r="I36" s="14">
        <f t="shared" si="20"/>
        <v>0</v>
      </c>
      <c r="J36" s="13"/>
      <c r="K36" s="13"/>
      <c r="L36" s="13"/>
      <c r="M36" s="14">
        <f t="shared" si="21"/>
        <v>0</v>
      </c>
      <c r="N36" s="13"/>
      <c r="O36" s="13"/>
      <c r="P36" s="13"/>
      <c r="Q36" s="15">
        <f t="shared" si="22"/>
        <v>0</v>
      </c>
      <c r="R36" s="13"/>
    </row>
    <row r="37" spans="1:18">
      <c r="A37" s="1" t="s">
        <v>25</v>
      </c>
      <c r="B37" s="13"/>
      <c r="C37" s="13"/>
      <c r="D37" s="13"/>
      <c r="E37" s="14">
        <f t="shared" si="19"/>
        <v>0</v>
      </c>
      <c r="F37" s="13"/>
      <c r="G37" s="13"/>
      <c r="H37" s="13"/>
      <c r="I37" s="14">
        <f t="shared" si="20"/>
        <v>0</v>
      </c>
      <c r="J37" s="13"/>
      <c r="K37" s="13"/>
      <c r="L37" s="13"/>
      <c r="M37" s="14">
        <f t="shared" si="21"/>
        <v>0</v>
      </c>
      <c r="N37" s="13"/>
      <c r="O37" s="13"/>
      <c r="P37" s="13"/>
      <c r="Q37" s="15">
        <f t="shared" si="22"/>
        <v>0</v>
      </c>
      <c r="R37" s="13"/>
    </row>
    <row r="38" spans="1:18">
      <c r="A38" s="1" t="s">
        <v>17</v>
      </c>
      <c r="B38" s="13"/>
      <c r="C38" s="13"/>
      <c r="D38" s="13"/>
      <c r="E38" s="14">
        <f t="shared" si="19"/>
        <v>0</v>
      </c>
      <c r="F38" s="13"/>
      <c r="G38" s="13"/>
      <c r="H38" s="13"/>
      <c r="I38" s="14">
        <f t="shared" si="20"/>
        <v>0</v>
      </c>
      <c r="J38" s="13"/>
      <c r="K38" s="13"/>
      <c r="L38" s="13"/>
      <c r="M38" s="14">
        <f t="shared" si="21"/>
        <v>0</v>
      </c>
      <c r="N38" s="13"/>
      <c r="O38" s="13"/>
      <c r="P38" s="13"/>
      <c r="Q38" s="15">
        <f t="shared" si="22"/>
        <v>0</v>
      </c>
      <c r="R38" s="13"/>
    </row>
    <row r="39" spans="1:18">
      <c r="A39" s="4" t="s">
        <v>22</v>
      </c>
      <c r="B39" s="16">
        <f t="shared" ref="B39:R39" si="23">SUM(B33:B38)</f>
        <v>0</v>
      </c>
      <c r="C39" s="16">
        <f t="shared" si="23"/>
        <v>0</v>
      </c>
      <c r="D39" s="16">
        <f t="shared" si="23"/>
        <v>0</v>
      </c>
      <c r="E39" s="16">
        <f t="shared" si="23"/>
        <v>0</v>
      </c>
      <c r="F39" s="16">
        <f t="shared" si="23"/>
        <v>0</v>
      </c>
      <c r="G39" s="16">
        <f t="shared" si="23"/>
        <v>0</v>
      </c>
      <c r="H39" s="16">
        <f t="shared" si="23"/>
        <v>0</v>
      </c>
      <c r="I39" s="16">
        <f t="shared" si="23"/>
        <v>0</v>
      </c>
      <c r="J39" s="16">
        <f t="shared" si="23"/>
        <v>0</v>
      </c>
      <c r="K39" s="16">
        <f t="shared" si="23"/>
        <v>0</v>
      </c>
      <c r="L39" s="16">
        <f t="shared" si="23"/>
        <v>0</v>
      </c>
      <c r="M39" s="16">
        <f t="shared" si="23"/>
        <v>0</v>
      </c>
      <c r="N39" s="16">
        <f t="shared" si="23"/>
        <v>0</v>
      </c>
      <c r="O39" s="16">
        <f t="shared" si="23"/>
        <v>0</v>
      </c>
      <c r="P39" s="16">
        <f t="shared" si="23"/>
        <v>0</v>
      </c>
      <c r="Q39" s="17">
        <f t="shared" si="23"/>
        <v>0</v>
      </c>
      <c r="R39" s="16">
        <f t="shared" si="23"/>
        <v>0</v>
      </c>
    </row>
    <row r="40" spans="1:18">
      <c r="A40" s="1" t="s">
        <v>28</v>
      </c>
      <c r="B40" s="13">
        <v>6136.52</v>
      </c>
      <c r="C40" s="13">
        <v>3948.71</v>
      </c>
      <c r="D40" s="13">
        <v>5627.95</v>
      </c>
      <c r="E40" s="14">
        <f t="shared" si="19"/>
        <v>15713.18</v>
      </c>
      <c r="F40" s="13"/>
      <c r="G40" s="13"/>
      <c r="H40" s="13"/>
      <c r="I40" s="14">
        <f t="shared" ref="I40:I53" si="24">SUM(F40:H40)</f>
        <v>0</v>
      </c>
      <c r="J40" s="13"/>
      <c r="K40" s="13"/>
      <c r="L40" s="13"/>
      <c r="M40" s="14">
        <f t="shared" ref="M40:M53" si="25">SUM(J40:L40)</f>
        <v>0</v>
      </c>
      <c r="N40" s="13"/>
      <c r="O40" s="13"/>
      <c r="P40" s="13"/>
      <c r="Q40" s="14">
        <f t="shared" ref="Q40:Q53" si="26">SUM(N40:P40)</f>
        <v>0</v>
      </c>
      <c r="R40" s="13">
        <f>+E40+I40+M40+Q40</f>
        <v>15713.18</v>
      </c>
    </row>
    <row r="41" spans="1:18">
      <c r="A41" s="1" t="s">
        <v>29</v>
      </c>
      <c r="B41" s="13"/>
      <c r="C41" s="13"/>
      <c r="D41" s="13"/>
      <c r="E41" s="14">
        <f t="shared" si="19"/>
        <v>0</v>
      </c>
      <c r="F41" s="13"/>
      <c r="G41" s="13"/>
      <c r="H41" s="13"/>
      <c r="I41" s="14">
        <f t="shared" si="24"/>
        <v>0</v>
      </c>
      <c r="J41" s="13"/>
      <c r="K41" s="13"/>
      <c r="L41" s="13"/>
      <c r="M41" s="14">
        <f t="shared" si="25"/>
        <v>0</v>
      </c>
      <c r="N41" s="13"/>
      <c r="O41" s="13"/>
      <c r="P41" s="13"/>
      <c r="Q41" s="14">
        <f t="shared" si="26"/>
        <v>0</v>
      </c>
      <c r="R41" s="13">
        <f t="shared" ref="R41:R53" si="27">+E41+I41+M41+Q41</f>
        <v>0</v>
      </c>
    </row>
    <row r="42" spans="1:18">
      <c r="A42" s="1" t="s">
        <v>30</v>
      </c>
      <c r="B42" s="13"/>
      <c r="C42" s="13"/>
      <c r="D42" s="13"/>
      <c r="E42" s="14">
        <f t="shared" si="19"/>
        <v>0</v>
      </c>
      <c r="F42" s="13"/>
      <c r="G42" s="13"/>
      <c r="H42" s="13"/>
      <c r="I42" s="14">
        <f t="shared" si="24"/>
        <v>0</v>
      </c>
      <c r="J42" s="13"/>
      <c r="K42" s="13"/>
      <c r="L42" s="13"/>
      <c r="M42" s="14">
        <f t="shared" si="25"/>
        <v>0</v>
      </c>
      <c r="N42" s="13"/>
      <c r="O42" s="13"/>
      <c r="P42" s="13"/>
      <c r="Q42" s="14">
        <f t="shared" si="26"/>
        <v>0</v>
      </c>
      <c r="R42" s="13">
        <f t="shared" si="27"/>
        <v>0</v>
      </c>
    </row>
    <row r="43" spans="1:18">
      <c r="A43" s="1" t="s">
        <v>32</v>
      </c>
      <c r="B43" s="13"/>
      <c r="C43" s="13"/>
      <c r="D43" s="13"/>
      <c r="E43" s="14">
        <f t="shared" si="19"/>
        <v>0</v>
      </c>
      <c r="F43" s="13"/>
      <c r="G43" s="13"/>
      <c r="H43" s="13"/>
      <c r="I43" s="14">
        <f t="shared" si="24"/>
        <v>0</v>
      </c>
      <c r="J43" s="13"/>
      <c r="K43" s="13"/>
      <c r="L43" s="13"/>
      <c r="M43" s="14">
        <f t="shared" si="25"/>
        <v>0</v>
      </c>
      <c r="N43" s="13"/>
      <c r="O43" s="13"/>
      <c r="P43" s="13"/>
      <c r="Q43" s="14">
        <f t="shared" si="26"/>
        <v>0</v>
      </c>
      <c r="R43" s="13">
        <f t="shared" si="27"/>
        <v>0</v>
      </c>
    </row>
    <row r="44" spans="1:18">
      <c r="A44" s="1" t="s">
        <v>33</v>
      </c>
      <c r="B44" s="13"/>
      <c r="C44" s="13">
        <v>193.72</v>
      </c>
      <c r="D44" s="13">
        <v>1153.1300000000001</v>
      </c>
      <c r="E44" s="14">
        <f t="shared" si="19"/>
        <v>1346.8500000000001</v>
      </c>
      <c r="F44" s="13">
        <f>219.18+1142.71</f>
        <v>1361.89</v>
      </c>
      <c r="G44" s="13">
        <v>165.36</v>
      </c>
      <c r="H44" s="13"/>
      <c r="I44" s="14">
        <f t="shared" si="24"/>
        <v>1527.25</v>
      </c>
      <c r="J44" s="13"/>
      <c r="K44" s="13"/>
      <c r="L44" s="13"/>
      <c r="M44" s="14">
        <f t="shared" si="25"/>
        <v>0</v>
      </c>
      <c r="N44" s="13"/>
      <c r="O44" s="13"/>
      <c r="P44" s="13"/>
      <c r="Q44" s="14">
        <f t="shared" si="26"/>
        <v>0</v>
      </c>
      <c r="R44" s="13">
        <f t="shared" si="27"/>
        <v>2874.1000000000004</v>
      </c>
    </row>
    <row r="45" spans="1:18">
      <c r="A45" s="1" t="s">
        <v>34</v>
      </c>
      <c r="B45" s="13"/>
      <c r="C45" s="13">
        <f>84.13+75.19+219.11</f>
        <v>378.43</v>
      </c>
      <c r="D45" s="13"/>
      <c r="E45" s="14">
        <f t="shared" si="19"/>
        <v>378.43</v>
      </c>
      <c r="F45" s="13">
        <f>134.23+113.96+183.67</f>
        <v>431.86</v>
      </c>
      <c r="G45" s="13"/>
      <c r="H45" s="13"/>
      <c r="I45" s="14">
        <f t="shared" si="24"/>
        <v>431.86</v>
      </c>
      <c r="J45" s="13"/>
      <c r="K45" s="13"/>
      <c r="L45" s="13"/>
      <c r="M45" s="14">
        <f t="shared" si="25"/>
        <v>0</v>
      </c>
      <c r="N45" s="13"/>
      <c r="O45" s="13"/>
      <c r="P45" s="13"/>
      <c r="Q45" s="14">
        <f t="shared" si="26"/>
        <v>0</v>
      </c>
      <c r="R45" s="13">
        <f t="shared" si="27"/>
        <v>810.29</v>
      </c>
    </row>
    <row r="46" spans="1:18">
      <c r="A46" s="1" t="s">
        <v>35</v>
      </c>
      <c r="B46" s="13">
        <v>32.840000000000003</v>
      </c>
      <c r="C46" s="13">
        <v>32.840000000000003</v>
      </c>
      <c r="D46" s="13">
        <v>32.840000000000003</v>
      </c>
      <c r="E46" s="14">
        <f t="shared" si="19"/>
        <v>98.52000000000001</v>
      </c>
      <c r="F46" s="13">
        <v>32.840000000000003</v>
      </c>
      <c r="G46" s="13">
        <v>32.840000000000003</v>
      </c>
      <c r="H46" s="13"/>
      <c r="I46" s="14">
        <f t="shared" si="24"/>
        <v>65.680000000000007</v>
      </c>
      <c r="J46" s="13"/>
      <c r="K46" s="13"/>
      <c r="L46" s="13"/>
      <c r="M46" s="14">
        <f t="shared" si="25"/>
        <v>0</v>
      </c>
      <c r="N46" s="13"/>
      <c r="O46" s="13"/>
      <c r="P46" s="13"/>
      <c r="Q46" s="14">
        <f t="shared" si="26"/>
        <v>0</v>
      </c>
      <c r="R46" s="13">
        <f t="shared" si="27"/>
        <v>164.20000000000002</v>
      </c>
    </row>
    <row r="47" spans="1:18">
      <c r="A47" s="1"/>
      <c r="B47" s="13"/>
      <c r="C47" s="13"/>
      <c r="D47" s="13"/>
      <c r="E47" s="14">
        <f t="shared" si="19"/>
        <v>0</v>
      </c>
      <c r="F47" s="13"/>
      <c r="G47" s="13"/>
      <c r="H47" s="13"/>
      <c r="I47" s="14">
        <f t="shared" si="24"/>
        <v>0</v>
      </c>
      <c r="J47" s="13"/>
      <c r="K47" s="13"/>
      <c r="L47" s="13"/>
      <c r="M47" s="14">
        <f t="shared" si="25"/>
        <v>0</v>
      </c>
      <c r="N47" s="13"/>
      <c r="O47" s="13"/>
      <c r="P47" s="13"/>
      <c r="Q47" s="14">
        <f t="shared" si="26"/>
        <v>0</v>
      </c>
      <c r="R47" s="13">
        <f t="shared" si="27"/>
        <v>0</v>
      </c>
    </row>
    <row r="48" spans="1:18">
      <c r="A48" s="1" t="s">
        <v>36</v>
      </c>
      <c r="B48" s="13">
        <v>1185.18</v>
      </c>
      <c r="C48" s="13">
        <v>1208.8800000000001</v>
      </c>
      <c r="D48" s="13">
        <v>1208.99</v>
      </c>
      <c r="E48" s="14">
        <f t="shared" si="19"/>
        <v>3603.05</v>
      </c>
      <c r="F48" s="13">
        <v>1208.99</v>
      </c>
      <c r="G48" s="13">
        <v>1232.8</v>
      </c>
      <c r="H48" s="13"/>
      <c r="I48" s="14">
        <f t="shared" si="24"/>
        <v>2441.79</v>
      </c>
      <c r="J48" s="13"/>
      <c r="K48" s="13"/>
      <c r="L48" s="13"/>
      <c r="M48" s="14">
        <f t="shared" si="25"/>
        <v>0</v>
      </c>
      <c r="N48" s="13"/>
      <c r="O48" s="13"/>
      <c r="P48" s="13"/>
      <c r="Q48" s="14">
        <f t="shared" si="26"/>
        <v>0</v>
      </c>
      <c r="R48" s="13">
        <f t="shared" si="27"/>
        <v>6044.84</v>
      </c>
    </row>
    <row r="49" spans="1:18">
      <c r="A49" s="1" t="s">
        <v>16</v>
      </c>
      <c r="B49" s="13">
        <v>51.64</v>
      </c>
      <c r="C49" s="13"/>
      <c r="D49" s="13"/>
      <c r="E49" s="14">
        <f t="shared" si="19"/>
        <v>51.64</v>
      </c>
      <c r="F49" s="13"/>
      <c r="G49" s="13"/>
      <c r="H49" s="13"/>
      <c r="I49" s="14">
        <f t="shared" si="24"/>
        <v>0</v>
      </c>
      <c r="J49" s="13"/>
      <c r="K49" s="13"/>
      <c r="L49" s="13"/>
      <c r="M49" s="14">
        <f t="shared" si="25"/>
        <v>0</v>
      </c>
      <c r="N49" s="13"/>
      <c r="O49" s="13"/>
      <c r="P49" s="13"/>
      <c r="Q49" s="14">
        <f t="shared" si="26"/>
        <v>0</v>
      </c>
      <c r="R49" s="13">
        <f t="shared" si="27"/>
        <v>51.64</v>
      </c>
    </row>
    <row r="50" spans="1:18">
      <c r="A50" s="1" t="s">
        <v>37</v>
      </c>
      <c r="B50" s="13">
        <v>524.97</v>
      </c>
      <c r="C50" s="13">
        <v>516.19000000000005</v>
      </c>
      <c r="D50" s="13">
        <v>516.24</v>
      </c>
      <c r="E50" s="14">
        <f t="shared" si="19"/>
        <v>1557.4</v>
      </c>
      <c r="F50" s="13">
        <v>516.24</v>
      </c>
      <c r="G50" s="13"/>
      <c r="H50" s="13"/>
      <c r="I50" s="14">
        <f t="shared" si="24"/>
        <v>516.24</v>
      </c>
      <c r="J50" s="13"/>
      <c r="K50" s="13"/>
      <c r="L50" s="13"/>
      <c r="M50" s="14">
        <f t="shared" si="25"/>
        <v>0</v>
      </c>
      <c r="N50" s="13"/>
      <c r="O50" s="13"/>
      <c r="P50" s="13"/>
      <c r="Q50" s="14">
        <f t="shared" si="26"/>
        <v>0</v>
      </c>
      <c r="R50" s="13">
        <f t="shared" si="27"/>
        <v>2073.6400000000003</v>
      </c>
    </row>
    <row r="51" spans="1:18">
      <c r="A51" s="1" t="s">
        <v>38</v>
      </c>
      <c r="B51" s="13">
        <f>543.36+709.6+989.13+917.44</f>
        <v>3159.53</v>
      </c>
      <c r="C51" s="13">
        <f>554.23+723.79+1007.19+950</f>
        <v>3235.21</v>
      </c>
      <c r="D51" s="13">
        <f>554.23+741.57+1009.11+950</f>
        <v>3254.9100000000003</v>
      </c>
      <c r="E51" s="14">
        <f t="shared" si="19"/>
        <v>9649.65</v>
      </c>
      <c r="F51" s="13">
        <f>554.23+741.57+1009.11+950</f>
        <v>3254.9100000000003</v>
      </c>
      <c r="G51" s="13">
        <f>565.1+755.77+1029.09+968.42</f>
        <v>3318.38</v>
      </c>
      <c r="H51" s="13"/>
      <c r="I51" s="14">
        <f t="shared" si="24"/>
        <v>6573.2900000000009</v>
      </c>
      <c r="J51" s="13"/>
      <c r="K51" s="13"/>
      <c r="L51" s="13"/>
      <c r="M51" s="14">
        <f t="shared" si="25"/>
        <v>0</v>
      </c>
      <c r="N51" s="13"/>
      <c r="O51" s="13"/>
      <c r="P51" s="13"/>
      <c r="Q51" s="14">
        <f t="shared" si="26"/>
        <v>0</v>
      </c>
      <c r="R51" s="13">
        <f t="shared" si="27"/>
        <v>16222.94</v>
      </c>
    </row>
    <row r="52" spans="1:18">
      <c r="A52" s="1" t="s">
        <v>39</v>
      </c>
      <c r="B52" s="13">
        <f>219.99+287.27+371.41-83.26</f>
        <v>795.41000000000008</v>
      </c>
      <c r="C52" s="13">
        <f>224.37+293.02+393.65+384.61</f>
        <v>1295.6500000000001</v>
      </c>
      <c r="D52" s="13">
        <f>224.37+303.1+394.38+383.77</f>
        <v>1305.6199999999999</v>
      </c>
      <c r="E52" s="14">
        <f t="shared" si="19"/>
        <v>3396.6800000000003</v>
      </c>
      <c r="F52" s="13">
        <f>224.37+299.19+394.38+383.77</f>
        <v>1301.71</v>
      </c>
      <c r="G52" s="13"/>
      <c r="H52" s="13"/>
      <c r="I52" s="14">
        <f t="shared" si="24"/>
        <v>1301.71</v>
      </c>
      <c r="J52" s="13"/>
      <c r="K52" s="13"/>
      <c r="L52" s="13"/>
      <c r="M52" s="14">
        <f t="shared" si="25"/>
        <v>0</v>
      </c>
      <c r="N52" s="13"/>
      <c r="O52" s="13"/>
      <c r="P52" s="13"/>
      <c r="Q52" s="14">
        <f t="shared" si="26"/>
        <v>0</v>
      </c>
      <c r="R52" s="13">
        <f t="shared" si="27"/>
        <v>4698.3900000000003</v>
      </c>
    </row>
    <row r="53" spans="1:18">
      <c r="A53" s="26" t="s">
        <v>40</v>
      </c>
      <c r="B53" s="13"/>
      <c r="C53" s="13"/>
      <c r="D53" s="13"/>
      <c r="E53" s="14"/>
      <c r="F53" s="13"/>
      <c r="G53" s="13"/>
      <c r="H53" s="13"/>
      <c r="I53" s="14">
        <f t="shared" si="24"/>
        <v>0</v>
      </c>
      <c r="J53" s="13"/>
      <c r="K53" s="13"/>
      <c r="L53" s="13"/>
      <c r="M53" s="14">
        <f t="shared" si="25"/>
        <v>0</v>
      </c>
      <c r="N53" s="13"/>
      <c r="O53" s="13"/>
      <c r="P53" s="13"/>
      <c r="Q53" s="14">
        <f t="shared" si="26"/>
        <v>0</v>
      </c>
      <c r="R53" s="13">
        <f t="shared" si="27"/>
        <v>0</v>
      </c>
    </row>
    <row r="54" spans="1:18">
      <c r="A54" s="5" t="s">
        <v>23</v>
      </c>
      <c r="B54" s="18">
        <f>SUM(B40:B53)</f>
        <v>11886.090000000002</v>
      </c>
      <c r="C54" s="18">
        <f t="shared" ref="C54" si="28">SUM(C40:C53)</f>
        <v>10809.63</v>
      </c>
      <c r="D54" s="18">
        <f t="shared" ref="D54" si="29">SUM(D40:D53)</f>
        <v>13099.68</v>
      </c>
      <c r="E54" s="18">
        <f t="shared" ref="E54" si="30">SUM(E40:E53)</f>
        <v>35795.4</v>
      </c>
      <c r="F54" s="18">
        <f t="shared" ref="F54" si="31">SUM(F40:F53)</f>
        <v>8108.44</v>
      </c>
      <c r="G54" s="18">
        <f t="shared" ref="G54" si="32">SUM(G40:G53)</f>
        <v>4749.38</v>
      </c>
      <c r="H54" s="18">
        <f t="shared" ref="H54" si="33">SUM(H40:H53)</f>
        <v>0</v>
      </c>
      <c r="I54" s="18">
        <f t="shared" ref="I54" si="34">SUM(I40:I53)</f>
        <v>12857.82</v>
      </c>
      <c r="J54" s="18">
        <f t="shared" ref="J54" si="35">SUM(J40:J53)</f>
        <v>0</v>
      </c>
      <c r="K54" s="18">
        <f t="shared" ref="K54" si="36">SUM(K40:K53)</f>
        <v>0</v>
      </c>
      <c r="L54" s="18">
        <f t="shared" ref="L54" si="37">SUM(L40:L53)</f>
        <v>0</v>
      </c>
      <c r="M54" s="18">
        <f t="shared" ref="M54" si="38">SUM(M40:M53)</f>
        <v>0</v>
      </c>
      <c r="N54" s="18">
        <f t="shared" ref="N54" si="39">SUM(N40:N53)</f>
        <v>0</v>
      </c>
      <c r="O54" s="18">
        <f t="shared" ref="O54" si="40">SUM(O40:O53)</f>
        <v>0</v>
      </c>
      <c r="P54" s="18">
        <f t="shared" ref="P54" si="41">SUM(P40:P53)</f>
        <v>0</v>
      </c>
      <c r="Q54" s="19">
        <f t="shared" ref="Q54" si="42">SUM(Q40:Q53)</f>
        <v>0</v>
      </c>
      <c r="R54" s="18">
        <f t="shared" ref="R54" si="43">SUM(R40:R53)</f>
        <v>48653.22</v>
      </c>
    </row>
    <row r="55" spans="1:18">
      <c r="A55" s="1"/>
      <c r="B55" s="13"/>
      <c r="C55" s="13"/>
      <c r="D55" s="13"/>
      <c r="E55" s="14"/>
      <c r="F55" s="13"/>
      <c r="G55" s="13"/>
      <c r="H55" s="13"/>
      <c r="I55" s="14"/>
      <c r="J55" s="13"/>
      <c r="K55" s="13"/>
      <c r="L55" s="13"/>
      <c r="M55" s="14"/>
      <c r="N55" s="13"/>
      <c r="O55" s="13"/>
      <c r="P55" s="13"/>
      <c r="Q55" s="15"/>
      <c r="R55" s="13"/>
    </row>
    <row r="56" spans="1:18">
      <c r="A56" s="1"/>
      <c r="B56" s="13"/>
      <c r="C56" s="13"/>
      <c r="D56" s="13"/>
      <c r="E56" s="14"/>
      <c r="F56" s="13"/>
      <c r="G56" s="13"/>
      <c r="H56" s="13"/>
      <c r="I56" s="14"/>
      <c r="J56" s="13"/>
      <c r="K56" s="13"/>
      <c r="L56" s="13"/>
      <c r="M56" s="14"/>
      <c r="N56" s="13"/>
      <c r="O56" s="13"/>
      <c r="P56" s="13"/>
      <c r="Q56" s="15"/>
      <c r="R56" s="13"/>
    </row>
    <row r="57" spans="1:18">
      <c r="A57" s="10" t="s">
        <v>15</v>
      </c>
      <c r="B57" s="22">
        <f>B39-B54</f>
        <v>-11886.090000000002</v>
      </c>
      <c r="C57" s="22">
        <f t="shared" ref="C57:R57" si="44">C39-C54</f>
        <v>-10809.63</v>
      </c>
      <c r="D57" s="22">
        <f t="shared" si="44"/>
        <v>-13099.68</v>
      </c>
      <c r="E57" s="22">
        <f t="shared" si="44"/>
        <v>-35795.4</v>
      </c>
      <c r="F57" s="22">
        <f t="shared" si="44"/>
        <v>-8108.44</v>
      </c>
      <c r="G57" s="22">
        <f t="shared" si="44"/>
        <v>-4749.38</v>
      </c>
      <c r="H57" s="22">
        <f t="shared" si="44"/>
        <v>0</v>
      </c>
      <c r="I57" s="22">
        <f t="shared" si="44"/>
        <v>-12857.82</v>
      </c>
      <c r="J57" s="22">
        <f t="shared" si="44"/>
        <v>0</v>
      </c>
      <c r="K57" s="22">
        <f t="shared" si="44"/>
        <v>0</v>
      </c>
      <c r="L57" s="22">
        <f t="shared" si="44"/>
        <v>0</v>
      </c>
      <c r="M57" s="22">
        <f t="shared" si="44"/>
        <v>0</v>
      </c>
      <c r="N57" s="22">
        <f t="shared" si="44"/>
        <v>0</v>
      </c>
      <c r="O57" s="22">
        <f t="shared" si="44"/>
        <v>0</v>
      </c>
      <c r="P57" s="22">
        <f t="shared" si="44"/>
        <v>0</v>
      </c>
      <c r="Q57" s="23">
        <f t="shared" si="44"/>
        <v>0</v>
      </c>
      <c r="R57" s="22">
        <f t="shared" si="44"/>
        <v>-48653.22</v>
      </c>
    </row>
    <row r="58" spans="1:18"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</row>
    <row r="59" spans="1:18"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</row>
    <row r="60" spans="1:18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</row>
    <row r="61" spans="1:18">
      <c r="A61" s="11" t="s">
        <v>27</v>
      </c>
      <c r="B61" s="25">
        <f>B57-B27</f>
        <v>-277.83000000000357</v>
      </c>
      <c r="C61" s="25">
        <f t="shared" ref="C61:R61" si="45">C57-C27</f>
        <v>2917.7099999999991</v>
      </c>
      <c r="D61" s="25">
        <f t="shared" si="45"/>
        <v>-1119.7200000000012</v>
      </c>
      <c r="E61" s="25">
        <f t="shared" si="45"/>
        <v>1520.1599999999962</v>
      </c>
      <c r="F61" s="25">
        <f t="shared" si="45"/>
        <v>2599.2699999999995</v>
      </c>
      <c r="G61" s="25">
        <f t="shared" si="45"/>
        <v>7376.6799999999994</v>
      </c>
      <c r="H61" s="25">
        <f t="shared" si="45"/>
        <v>16861.13</v>
      </c>
      <c r="I61" s="25">
        <f t="shared" si="45"/>
        <v>28151.510000000002</v>
      </c>
      <c r="J61" s="25">
        <f t="shared" si="45"/>
        <v>11217.63</v>
      </c>
      <c r="K61" s="25">
        <f t="shared" si="45"/>
        <v>7402.08</v>
      </c>
      <c r="L61" s="25">
        <f t="shared" si="45"/>
        <v>8624.09</v>
      </c>
      <c r="M61" s="25">
        <f t="shared" si="45"/>
        <v>27243.8</v>
      </c>
      <c r="N61" s="25">
        <f t="shared" si="45"/>
        <v>7543.24</v>
      </c>
      <c r="O61" s="25">
        <f t="shared" si="45"/>
        <v>8533.2200000000012</v>
      </c>
      <c r="P61" s="25">
        <f t="shared" si="45"/>
        <v>6729.1</v>
      </c>
      <c r="Q61" s="25">
        <f t="shared" si="45"/>
        <v>22805.55999999999</v>
      </c>
      <c r="R61" s="25">
        <f t="shared" si="45"/>
        <v>79721.029999999984</v>
      </c>
    </row>
  </sheetData>
  <mergeCells count="2">
    <mergeCell ref="A1:Q1"/>
    <mergeCell ref="A31:Q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secretariobuitrago@outlook.es</dc:creator>
  <cp:lastModifiedBy>Trini</cp:lastModifiedBy>
  <dcterms:created xsi:type="dcterms:W3CDTF">2020-05-05T07:46:09Z</dcterms:created>
  <dcterms:modified xsi:type="dcterms:W3CDTF">2020-05-29T10:10:43Z</dcterms:modified>
</cp:coreProperties>
</file>